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ämäTyökirja"/>
  <mc:AlternateContent xmlns:mc="http://schemas.openxmlformats.org/markup-compatibility/2006">
    <mc:Choice Requires="x15">
      <x15ac:absPath xmlns:x15ac="http://schemas.microsoft.com/office/spreadsheetml/2010/11/ac" url="Z:\Puukerrostalo\Lähetys\Rakennelaskurit\"/>
    </mc:Choice>
  </mc:AlternateContent>
  <xr:revisionPtr revIDLastSave="0" documentId="13_ncr:1_{EC308A5B-8BE2-4BEE-8415-F2F166931C0F}" xr6:coauthVersionLast="47" xr6:coauthVersionMax="47" xr10:uidLastSave="{00000000-0000-0000-0000-000000000000}"/>
  <workbookProtection lockStructure="1"/>
  <bookViews>
    <workbookView xWindow="28690" yWindow="-110" windowWidth="29020" windowHeight="15820" xr2:uid="{00000000-000D-0000-FFFF-FFFF00000000}"/>
  </bookViews>
  <sheets>
    <sheet name="Aloitus" sheetId="10" r:id="rId1"/>
    <sheet name="Huomiot" sheetId="1" r:id="rId2"/>
    <sheet name="Laskuri" sheetId="7" r:id="rId3"/>
    <sheet name="Materiaalilaskut" sheetId="4" r:id="rId4"/>
    <sheet name="Materiaalilaskut 2" sheetId="5" r:id="rId5"/>
    <sheet name="Kaavat 1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7" i="6" l="1"/>
  <c r="E110" i="6"/>
  <c r="G110" i="6" s="1"/>
  <c r="E130" i="6" s="1"/>
  <c r="AF49" i="7"/>
  <c r="AA44" i="7"/>
  <c r="AA43" i="7"/>
  <c r="AA42" i="7"/>
  <c r="AA41" i="7"/>
  <c r="AA40" i="7"/>
  <c r="AA39" i="7"/>
  <c r="AA38" i="7"/>
  <c r="AA37" i="7"/>
  <c r="AA36" i="7"/>
  <c r="AA35" i="7"/>
  <c r="C135" i="4"/>
  <c r="C120" i="4"/>
  <c r="C121" i="4"/>
  <c r="C122" i="4"/>
  <c r="C123" i="4"/>
  <c r="C124" i="4"/>
  <c r="C125" i="4"/>
  <c r="C126" i="4"/>
  <c r="C127" i="4"/>
  <c r="C128" i="4"/>
  <c r="C134" i="4"/>
  <c r="C136" i="4"/>
  <c r="C137" i="4"/>
  <c r="C138" i="4"/>
  <c r="C139" i="4"/>
  <c r="C140" i="4"/>
  <c r="C141" i="4"/>
  <c r="C142" i="4"/>
  <c r="C133" i="4"/>
  <c r="C119" i="4"/>
  <c r="F133" i="4"/>
  <c r="F137" i="4"/>
  <c r="C39" i="6"/>
  <c r="C38" i="6"/>
  <c r="C37" i="6"/>
  <c r="C36" i="6"/>
  <c r="C35" i="6"/>
  <c r="C34" i="6"/>
  <c r="C33" i="6"/>
  <c r="C32" i="6"/>
  <c r="C31" i="6"/>
  <c r="C30" i="6"/>
  <c r="C26" i="6"/>
  <c r="C25" i="6"/>
  <c r="C24" i="6"/>
  <c r="C23" i="6"/>
  <c r="C22" i="6"/>
  <c r="C21" i="6"/>
  <c r="C20" i="6"/>
  <c r="C19" i="6"/>
  <c r="C17" i="6"/>
  <c r="B39" i="6"/>
  <c r="B38" i="6"/>
  <c r="B37" i="6"/>
  <c r="B36" i="6"/>
  <c r="B35" i="6"/>
  <c r="B34" i="6"/>
  <c r="B33" i="6"/>
  <c r="B32" i="6"/>
  <c r="B31" i="6"/>
  <c r="B30" i="6"/>
  <c r="E111" i="6"/>
  <c r="G111" i="6" s="1"/>
  <c r="E112" i="6"/>
  <c r="G112" i="6" s="1"/>
  <c r="E115" i="6"/>
  <c r="G115" i="6" s="1"/>
  <c r="E116" i="6"/>
  <c r="G116" i="6" s="1"/>
  <c r="E114" i="6"/>
  <c r="G114" i="6" s="1"/>
  <c r="D106" i="6"/>
  <c r="E106" i="6"/>
  <c r="B108" i="6"/>
  <c r="L60" i="4"/>
  <c r="M60" i="4"/>
  <c r="P60" i="4"/>
  <c r="L61" i="4"/>
  <c r="M61" i="4"/>
  <c r="P61" i="4"/>
  <c r="L59" i="4"/>
  <c r="M59" i="4"/>
  <c r="P59" i="4"/>
  <c r="R121" i="6"/>
  <c r="S121" i="6"/>
  <c r="T121" i="6"/>
  <c r="Q121" i="6"/>
  <c r="N121" i="6"/>
  <c r="R117" i="6"/>
  <c r="S117" i="6"/>
  <c r="T117" i="6"/>
  <c r="Q117" i="6"/>
  <c r="N117" i="6"/>
  <c r="N113" i="6"/>
  <c r="R113" i="6"/>
  <c r="S113" i="6"/>
  <c r="T113" i="6"/>
  <c r="Q113" i="6"/>
  <c r="R109" i="6"/>
  <c r="S109" i="6"/>
  <c r="T109" i="6"/>
  <c r="Q109" i="6"/>
  <c r="N109" i="6"/>
  <c r="N105" i="6"/>
  <c r="N101" i="6"/>
  <c r="N97" i="6"/>
  <c r="R97" i="6"/>
  <c r="S97" i="6"/>
  <c r="T97" i="6"/>
  <c r="Q97" i="6"/>
  <c r="R105" i="6"/>
  <c r="S105" i="6"/>
  <c r="T105" i="6"/>
  <c r="Q105" i="6"/>
  <c r="R101" i="6"/>
  <c r="S101" i="6"/>
  <c r="T101" i="6"/>
  <c r="Q101" i="6"/>
  <c r="R93" i="6"/>
  <c r="S93" i="6"/>
  <c r="T93" i="6"/>
  <c r="N93" i="6"/>
  <c r="Q93" i="6"/>
  <c r="R92" i="6"/>
  <c r="S92" i="6"/>
  <c r="T92" i="6"/>
  <c r="Q92" i="6"/>
  <c r="D94" i="6"/>
  <c r="F94" i="6" s="1"/>
  <c r="C94" i="6"/>
  <c r="K93" i="6"/>
  <c r="D93" i="6"/>
  <c r="F93" i="6" s="1"/>
  <c r="C93" i="6"/>
  <c r="E92" i="6"/>
  <c r="D92" i="6"/>
  <c r="F92" i="6" s="1"/>
  <c r="C92" i="6"/>
  <c r="D89" i="6"/>
  <c r="F89" i="6" s="1"/>
  <c r="C89" i="6"/>
  <c r="K88" i="6"/>
  <c r="D88" i="6"/>
  <c r="F88" i="6" s="1"/>
  <c r="C88" i="6"/>
  <c r="D87" i="6"/>
  <c r="F87" i="6" s="1"/>
  <c r="C87" i="6"/>
  <c r="C81" i="6"/>
  <c r="C82" i="6"/>
  <c r="C80" i="6"/>
  <c r="F81" i="6"/>
  <c r="E80" i="6"/>
  <c r="D81" i="6"/>
  <c r="D82" i="6"/>
  <c r="F82" i="6" s="1"/>
  <c r="D80" i="6"/>
  <c r="F80" i="6" s="1"/>
  <c r="K81" i="6"/>
  <c r="AF22" i="7"/>
  <c r="AA9" i="7"/>
  <c r="AA10" i="7"/>
  <c r="AA11" i="7"/>
  <c r="AA12" i="7"/>
  <c r="AA13" i="7"/>
  <c r="AA14" i="7"/>
  <c r="AA15" i="7"/>
  <c r="AA16" i="7"/>
  <c r="AA17" i="7"/>
  <c r="AA8" i="7"/>
  <c r="AB44" i="7"/>
  <c r="AB43" i="7"/>
  <c r="AB42" i="7"/>
  <c r="AB41" i="7"/>
  <c r="AB40" i="7"/>
  <c r="AB39" i="7"/>
  <c r="AB38" i="7"/>
  <c r="AB37" i="7"/>
  <c r="AB36" i="7"/>
  <c r="AB35" i="7"/>
  <c r="AB17" i="7"/>
  <c r="AB16" i="7"/>
  <c r="AB15" i="7"/>
  <c r="AB14" i="7"/>
  <c r="AB13" i="7"/>
  <c r="AB12" i="7"/>
  <c r="AB11" i="7"/>
  <c r="AB10" i="7"/>
  <c r="AB9" i="7"/>
  <c r="AB8" i="7"/>
  <c r="K30" i="6"/>
  <c r="M13" i="6"/>
  <c r="L13" i="6"/>
  <c r="R13" i="6"/>
  <c r="Q13" i="6"/>
  <c r="F73" i="6"/>
  <c r="F72" i="6"/>
  <c r="E72" i="6"/>
  <c r="E73" i="6"/>
  <c r="F71" i="6"/>
  <c r="E71" i="6"/>
  <c r="Q65" i="6"/>
  <c r="Q66" i="6"/>
  <c r="R66" i="6" s="1"/>
  <c r="S66" i="6" s="1"/>
  <c r="Q67" i="6"/>
  <c r="R67" i="6" s="1"/>
  <c r="S67" i="6" s="1"/>
  <c r="G81" i="6" l="1"/>
  <c r="H81" i="6" s="1"/>
  <c r="I81" i="6" s="1"/>
  <c r="F131" i="6"/>
  <c r="E131" i="6"/>
  <c r="G89" i="6"/>
  <c r="H89" i="6" s="1"/>
  <c r="I89" i="6" s="1"/>
  <c r="G94" i="6"/>
  <c r="H94" i="6" s="1"/>
  <c r="I94" i="6" s="1"/>
  <c r="G80" i="6"/>
  <c r="H80" i="6" s="1"/>
  <c r="I80" i="6" s="1"/>
  <c r="G92" i="6"/>
  <c r="H92" i="6" s="1"/>
  <c r="I92" i="6" s="1"/>
  <c r="G82" i="6"/>
  <c r="H82" i="6" s="1"/>
  <c r="I82" i="6" s="1"/>
  <c r="G87" i="6"/>
  <c r="H87" i="6" s="1"/>
  <c r="I87" i="6" s="1"/>
  <c r="G88" i="6"/>
  <c r="H88" i="6" s="1"/>
  <c r="I88" i="6" s="1"/>
  <c r="N81" i="6" s="1"/>
  <c r="G93" i="6"/>
  <c r="H93" i="6" s="1"/>
  <c r="I93" i="6" s="1"/>
  <c r="E135" i="6"/>
  <c r="M135" i="6"/>
  <c r="F135" i="6"/>
  <c r="N135" i="6"/>
  <c r="D135" i="6"/>
  <c r="G135" i="6"/>
  <c r="C135" i="6"/>
  <c r="H135" i="6"/>
  <c r="I135" i="6"/>
  <c r="J135" i="6"/>
  <c r="I116" i="6"/>
  <c r="J116" i="6" s="1"/>
  <c r="K135" i="6"/>
  <c r="L135" i="6"/>
  <c r="E134" i="6"/>
  <c r="M134" i="6"/>
  <c r="F134" i="6"/>
  <c r="N134" i="6"/>
  <c r="G134" i="6"/>
  <c r="C134" i="6"/>
  <c r="L134" i="6"/>
  <c r="H134" i="6"/>
  <c r="I134" i="6"/>
  <c r="I115" i="6"/>
  <c r="J115" i="6" s="1"/>
  <c r="J134" i="6"/>
  <c r="K134" i="6"/>
  <c r="D134" i="6"/>
  <c r="K132" i="6"/>
  <c r="D132" i="6"/>
  <c r="L132" i="6"/>
  <c r="J132" i="6"/>
  <c r="E132" i="6"/>
  <c r="M132" i="6"/>
  <c r="I112" i="6"/>
  <c r="J112" i="6" s="1"/>
  <c r="F132" i="6"/>
  <c r="N132" i="6"/>
  <c r="G132" i="6"/>
  <c r="C132" i="6"/>
  <c r="H132" i="6"/>
  <c r="I132" i="6"/>
  <c r="F130" i="6"/>
  <c r="N130" i="6"/>
  <c r="G130" i="6"/>
  <c r="C130" i="6"/>
  <c r="H130" i="6"/>
  <c r="I110" i="6"/>
  <c r="J110" i="6" s="1"/>
  <c r="I130" i="6"/>
  <c r="J130" i="6"/>
  <c r="K130" i="6"/>
  <c r="D130" i="6"/>
  <c r="L130" i="6"/>
  <c r="M130" i="6"/>
  <c r="H133" i="6"/>
  <c r="I133" i="6"/>
  <c r="J133" i="6"/>
  <c r="K133" i="6"/>
  <c r="C133" i="6"/>
  <c r="I114" i="6"/>
  <c r="J114" i="6" s="1"/>
  <c r="G133" i="6"/>
  <c r="D133" i="6"/>
  <c r="L133" i="6"/>
  <c r="E133" i="6"/>
  <c r="M133" i="6"/>
  <c r="F133" i="6"/>
  <c r="N133" i="6"/>
  <c r="L131" i="6"/>
  <c r="D131" i="6"/>
  <c r="C131" i="6"/>
  <c r="K131" i="6"/>
  <c r="J131" i="6"/>
  <c r="I131" i="6"/>
  <c r="H131" i="6"/>
  <c r="I111" i="6"/>
  <c r="J111" i="6" s="1"/>
  <c r="G131" i="6"/>
  <c r="M131" i="6"/>
  <c r="N131" i="6"/>
  <c r="T66" i="6"/>
  <c r="T67" i="6"/>
  <c r="R134" i="4"/>
  <c r="R135" i="4"/>
  <c r="R136" i="4"/>
  <c r="R137" i="4"/>
  <c r="R138" i="4"/>
  <c r="R139" i="4"/>
  <c r="R140" i="4"/>
  <c r="R141" i="4"/>
  <c r="R142" i="4"/>
  <c r="Q134" i="4"/>
  <c r="Q135" i="4"/>
  <c r="Q136" i="4"/>
  <c r="Q137" i="4"/>
  <c r="Q138" i="4"/>
  <c r="Q139" i="4"/>
  <c r="Q140" i="4"/>
  <c r="Q141" i="4"/>
  <c r="Q142" i="4"/>
  <c r="P134" i="4"/>
  <c r="P135" i="4"/>
  <c r="P136" i="4"/>
  <c r="P137" i="4"/>
  <c r="P138" i="4"/>
  <c r="P139" i="4"/>
  <c r="P140" i="4"/>
  <c r="P141" i="4"/>
  <c r="P142" i="4"/>
  <c r="O134" i="4"/>
  <c r="O135" i="4"/>
  <c r="O136" i="4"/>
  <c r="O137" i="4"/>
  <c r="O138" i="4"/>
  <c r="O139" i="4"/>
  <c r="O140" i="4"/>
  <c r="O141" i="4"/>
  <c r="O142" i="4"/>
  <c r="N134" i="4"/>
  <c r="N135" i="4"/>
  <c r="N136" i="4"/>
  <c r="N137" i="4"/>
  <c r="N138" i="4"/>
  <c r="N139" i="4"/>
  <c r="N140" i="4"/>
  <c r="N141" i="4"/>
  <c r="N142" i="4"/>
  <c r="M134" i="4"/>
  <c r="M135" i="4"/>
  <c r="M136" i="4"/>
  <c r="M137" i="4"/>
  <c r="M138" i="4"/>
  <c r="M139" i="4"/>
  <c r="M140" i="4"/>
  <c r="M141" i="4"/>
  <c r="M142" i="4"/>
  <c r="L134" i="4"/>
  <c r="L135" i="4"/>
  <c r="L136" i="4"/>
  <c r="L137" i="4"/>
  <c r="L138" i="4"/>
  <c r="L139" i="4"/>
  <c r="L140" i="4"/>
  <c r="L141" i="4"/>
  <c r="L142" i="4"/>
  <c r="K134" i="4"/>
  <c r="K135" i="4"/>
  <c r="K136" i="4"/>
  <c r="K137" i="4"/>
  <c r="K138" i="4"/>
  <c r="K139" i="4"/>
  <c r="K140" i="4"/>
  <c r="K141" i="4"/>
  <c r="K142" i="4"/>
  <c r="J134" i="4"/>
  <c r="J135" i="4"/>
  <c r="J136" i="4"/>
  <c r="J137" i="4"/>
  <c r="J138" i="4"/>
  <c r="J139" i="4"/>
  <c r="J140" i="4"/>
  <c r="J141" i="4"/>
  <c r="J142" i="4"/>
  <c r="I134" i="4"/>
  <c r="U134" i="4" s="1"/>
  <c r="I135" i="4"/>
  <c r="U135" i="4" s="1"/>
  <c r="I136" i="4"/>
  <c r="U136" i="4" s="1"/>
  <c r="I137" i="4"/>
  <c r="U137" i="4" s="1"/>
  <c r="I138" i="4"/>
  <c r="U138" i="4" s="1"/>
  <c r="I139" i="4"/>
  <c r="U139" i="4" s="1"/>
  <c r="I140" i="4"/>
  <c r="U140" i="4" s="1"/>
  <c r="I141" i="4"/>
  <c r="U141" i="4" s="1"/>
  <c r="I142" i="4"/>
  <c r="U142" i="4" s="1"/>
  <c r="H134" i="4"/>
  <c r="H135" i="4"/>
  <c r="H136" i="4"/>
  <c r="H137" i="4"/>
  <c r="H138" i="4"/>
  <c r="H139" i="4"/>
  <c r="H140" i="4"/>
  <c r="H141" i="4"/>
  <c r="H142" i="4"/>
  <c r="F134" i="4"/>
  <c r="F135" i="4"/>
  <c r="F136" i="4"/>
  <c r="F138" i="4"/>
  <c r="F139" i="4"/>
  <c r="F140" i="4"/>
  <c r="F141" i="4"/>
  <c r="F142" i="4"/>
  <c r="Q15" i="6"/>
  <c r="G134" i="4"/>
  <c r="G135" i="4"/>
  <c r="G136" i="4"/>
  <c r="G137" i="4"/>
  <c r="G138" i="4"/>
  <c r="G139" i="4"/>
  <c r="G140" i="4"/>
  <c r="G141" i="4"/>
  <c r="G142" i="4"/>
  <c r="E142" i="4"/>
  <c r="P24" i="6" s="1"/>
  <c r="E141" i="4"/>
  <c r="P23" i="6" s="1"/>
  <c r="E140" i="4"/>
  <c r="P22" i="6" s="1"/>
  <c r="E139" i="4"/>
  <c r="P21" i="6" s="1"/>
  <c r="E138" i="4"/>
  <c r="P20" i="6" s="1"/>
  <c r="E137" i="4"/>
  <c r="P19" i="6" s="1"/>
  <c r="E136" i="4"/>
  <c r="P18" i="6" s="1"/>
  <c r="E135" i="4"/>
  <c r="P17" i="6" s="1"/>
  <c r="E134" i="4"/>
  <c r="P16" i="6" s="1"/>
  <c r="E133" i="4"/>
  <c r="P15" i="6" s="1"/>
  <c r="R133" i="4"/>
  <c r="Q133" i="4"/>
  <c r="P133" i="4"/>
  <c r="O133" i="4"/>
  <c r="N133" i="4"/>
  <c r="M133" i="4"/>
  <c r="L133" i="4"/>
  <c r="K133" i="4"/>
  <c r="J133" i="4"/>
  <c r="I133" i="4"/>
  <c r="U133" i="4" s="1"/>
  <c r="H133" i="4"/>
  <c r="G133" i="4"/>
  <c r="R120" i="4"/>
  <c r="R121" i="4"/>
  <c r="R122" i="4"/>
  <c r="R123" i="4"/>
  <c r="R124" i="4"/>
  <c r="R125" i="4"/>
  <c r="R126" i="4"/>
  <c r="R127" i="4"/>
  <c r="R128" i="4"/>
  <c r="Q120" i="4"/>
  <c r="Q121" i="4"/>
  <c r="Q122" i="4"/>
  <c r="Q123" i="4"/>
  <c r="Q124" i="4"/>
  <c r="Q125" i="4"/>
  <c r="Q126" i="4"/>
  <c r="Q127" i="4"/>
  <c r="Q128" i="4"/>
  <c r="P120" i="4"/>
  <c r="P121" i="4"/>
  <c r="P122" i="4"/>
  <c r="P123" i="4"/>
  <c r="P124" i="4"/>
  <c r="P125" i="4"/>
  <c r="P126" i="4"/>
  <c r="P127" i="4"/>
  <c r="P128" i="4"/>
  <c r="O120" i="4"/>
  <c r="O121" i="4"/>
  <c r="O122" i="4"/>
  <c r="O123" i="4"/>
  <c r="O124" i="4"/>
  <c r="O125" i="4"/>
  <c r="O126" i="4"/>
  <c r="O127" i="4"/>
  <c r="O128" i="4"/>
  <c r="N120" i="4"/>
  <c r="N121" i="4"/>
  <c r="N122" i="4"/>
  <c r="N123" i="4"/>
  <c r="N124" i="4"/>
  <c r="N125" i="4"/>
  <c r="N126" i="4"/>
  <c r="N127" i="4"/>
  <c r="N128" i="4"/>
  <c r="M120" i="4"/>
  <c r="M121" i="4"/>
  <c r="M122" i="4"/>
  <c r="M123" i="4"/>
  <c r="M124" i="4"/>
  <c r="M125" i="4"/>
  <c r="M126" i="4"/>
  <c r="M127" i="4"/>
  <c r="M128" i="4"/>
  <c r="L120" i="4"/>
  <c r="L121" i="4"/>
  <c r="L122" i="4"/>
  <c r="L123" i="4"/>
  <c r="L124" i="4"/>
  <c r="L125" i="4"/>
  <c r="L126" i="4"/>
  <c r="L127" i="4"/>
  <c r="L128" i="4"/>
  <c r="Q119" i="4"/>
  <c r="P119" i="4"/>
  <c r="O119" i="4"/>
  <c r="R119" i="4"/>
  <c r="N119" i="4"/>
  <c r="M119" i="4"/>
  <c r="L119" i="4"/>
  <c r="K120" i="4"/>
  <c r="K121" i="4"/>
  <c r="K122" i="4"/>
  <c r="K123" i="4"/>
  <c r="K124" i="4"/>
  <c r="K125" i="4"/>
  <c r="K126" i="4"/>
  <c r="K127" i="4"/>
  <c r="K128" i="4"/>
  <c r="K119" i="4"/>
  <c r="J120" i="4"/>
  <c r="J121" i="4"/>
  <c r="J122" i="4"/>
  <c r="J123" i="4"/>
  <c r="J124" i="4"/>
  <c r="J125" i="4"/>
  <c r="J126" i="4"/>
  <c r="J127" i="4"/>
  <c r="J128" i="4"/>
  <c r="J119" i="4"/>
  <c r="I120" i="4"/>
  <c r="U120" i="4" s="1"/>
  <c r="I121" i="4"/>
  <c r="U121" i="4" s="1"/>
  <c r="I122" i="4"/>
  <c r="U122" i="4" s="1"/>
  <c r="I123" i="4"/>
  <c r="U123" i="4" s="1"/>
  <c r="I124" i="4"/>
  <c r="U124" i="4" s="1"/>
  <c r="I125" i="4"/>
  <c r="U125" i="4" s="1"/>
  <c r="I126" i="4"/>
  <c r="U126" i="4" s="1"/>
  <c r="I127" i="4"/>
  <c r="U127" i="4" s="1"/>
  <c r="I128" i="4"/>
  <c r="U128" i="4" s="1"/>
  <c r="I119" i="4"/>
  <c r="U119" i="4" s="1"/>
  <c r="H120" i="4"/>
  <c r="H121" i="4"/>
  <c r="H122" i="4"/>
  <c r="H123" i="4"/>
  <c r="H124" i="4"/>
  <c r="H125" i="4"/>
  <c r="H126" i="4"/>
  <c r="H127" i="4"/>
  <c r="H128" i="4"/>
  <c r="H119" i="4"/>
  <c r="G121" i="4"/>
  <c r="G122" i="4"/>
  <c r="G123" i="4"/>
  <c r="G124" i="4"/>
  <c r="G125" i="4"/>
  <c r="G126" i="4"/>
  <c r="G127" i="4"/>
  <c r="G128" i="4"/>
  <c r="G119" i="4"/>
  <c r="F128" i="4"/>
  <c r="F127" i="4"/>
  <c r="F126" i="4"/>
  <c r="F125" i="4"/>
  <c r="F124" i="4"/>
  <c r="F123" i="4"/>
  <c r="F122" i="4"/>
  <c r="F121" i="4"/>
  <c r="F119" i="4"/>
  <c r="E128" i="4"/>
  <c r="K24" i="6" s="1"/>
  <c r="E127" i="4"/>
  <c r="K23" i="6" s="1"/>
  <c r="E126" i="4"/>
  <c r="K22" i="6" s="1"/>
  <c r="E125" i="4"/>
  <c r="K21" i="6" s="1"/>
  <c r="E124" i="4"/>
  <c r="K20" i="6" s="1"/>
  <c r="E123" i="4"/>
  <c r="K19" i="6" s="1"/>
  <c r="E122" i="4"/>
  <c r="K18" i="6" s="1"/>
  <c r="E121" i="4"/>
  <c r="K17" i="6" s="1"/>
  <c r="E120" i="4"/>
  <c r="K16" i="6" s="1"/>
  <c r="E119" i="4"/>
  <c r="K15" i="6" s="1"/>
  <c r="B26" i="6"/>
  <c r="B25" i="6"/>
  <c r="B24" i="6"/>
  <c r="B23" i="6"/>
  <c r="B22" i="6"/>
  <c r="B21" i="6"/>
  <c r="B20" i="6"/>
  <c r="B19" i="6"/>
  <c r="B18" i="6"/>
  <c r="B17" i="6"/>
  <c r="C18" i="6"/>
  <c r="AQ7" i="5"/>
  <c r="AQ6" i="5"/>
  <c r="AU9" i="5"/>
  <c r="AU8" i="5"/>
  <c r="AU7" i="5"/>
  <c r="AQ14" i="5"/>
  <c r="AQ13" i="5"/>
  <c r="AQ12" i="5"/>
  <c r="AM10" i="5"/>
  <c r="AM9" i="5"/>
  <c r="AM8" i="5"/>
  <c r="AM24" i="5"/>
  <c r="AM23" i="5"/>
  <c r="AM20" i="5"/>
  <c r="AM21" i="5"/>
  <c r="AM22" i="5" s="1"/>
  <c r="AM19" i="5"/>
  <c r="AH17" i="5"/>
  <c r="AH18" i="5"/>
  <c r="AH19" i="5"/>
  <c r="AH20" i="5"/>
  <c r="AH21" i="5"/>
  <c r="AH22" i="5"/>
  <c r="AH23" i="5"/>
  <c r="AH16" i="5"/>
  <c r="AA17" i="5"/>
  <c r="AA18" i="5"/>
  <c r="AA19" i="5"/>
  <c r="AA20" i="5"/>
  <c r="AA21" i="5"/>
  <c r="AA22" i="5"/>
  <c r="AA23" i="5"/>
  <c r="AA16" i="5"/>
  <c r="T17" i="5"/>
  <c r="T18" i="5"/>
  <c r="T19" i="5"/>
  <c r="T20" i="5"/>
  <c r="T21" i="5"/>
  <c r="T22" i="5"/>
  <c r="T23" i="5"/>
  <c r="T16" i="5"/>
  <c r="A60" i="5"/>
  <c r="A61" i="5" s="1"/>
  <c r="A56" i="5"/>
  <c r="A55" i="5"/>
  <c r="A50" i="5"/>
  <c r="A48" i="5"/>
  <c r="N51" i="5"/>
  <c r="N50" i="5"/>
  <c r="N48" i="5"/>
  <c r="N49" i="5" s="1"/>
  <c r="G49" i="5"/>
  <c r="G48" i="5"/>
  <c r="G50" i="5" s="1"/>
  <c r="G47" i="5"/>
  <c r="N39" i="5"/>
  <c r="M40" i="5"/>
  <c r="M39" i="5"/>
  <c r="M41" i="5" s="1"/>
  <c r="K39" i="5"/>
  <c r="K38" i="5"/>
  <c r="G40" i="5"/>
  <c r="G39" i="5"/>
  <c r="L30" i="5"/>
  <c r="L29" i="5"/>
  <c r="L31" i="5"/>
  <c r="M24" i="5"/>
  <c r="M23" i="5"/>
  <c r="K23" i="5"/>
  <c r="M30" i="5"/>
  <c r="M29" i="5"/>
  <c r="M31" i="5" s="1"/>
  <c r="G28" i="5"/>
  <c r="B31" i="5"/>
  <c r="C30" i="5"/>
  <c r="C31" i="5" s="1"/>
  <c r="B28" i="5"/>
  <c r="B27" i="5"/>
  <c r="B29" i="5" s="1"/>
  <c r="J6" i="5"/>
  <c r="H9" i="5" s="1"/>
  <c r="J9" i="5" s="1"/>
  <c r="B5" i="5"/>
  <c r="C5" i="5" s="1"/>
  <c r="C9" i="5" s="1"/>
  <c r="V119" i="4" l="1"/>
  <c r="V133" i="4"/>
  <c r="W133" i="4" s="1"/>
  <c r="O88" i="6"/>
  <c r="O81" i="6"/>
  <c r="N80" i="6"/>
  <c r="O87" i="6" s="1"/>
  <c r="O80" i="6"/>
  <c r="P81" i="6"/>
  <c r="N82" i="6"/>
  <c r="O89" i="6" s="1"/>
  <c r="W119" i="4"/>
  <c r="X133" i="4"/>
  <c r="X119" i="4"/>
  <c r="AG8" i="7" s="1"/>
  <c r="R15" i="6"/>
  <c r="V125" i="4"/>
  <c r="W125" i="4" s="1"/>
  <c r="V136" i="4"/>
  <c r="W136" i="4" s="1"/>
  <c r="V135" i="4"/>
  <c r="W135" i="4" s="1"/>
  <c r="V122" i="4"/>
  <c r="W122" i="4" s="1"/>
  <c r="AC38" i="7"/>
  <c r="D33" i="6" s="1"/>
  <c r="Q18" i="6"/>
  <c r="R18" i="6" s="1"/>
  <c r="AH38" i="7" s="1"/>
  <c r="AC35" i="7"/>
  <c r="D30" i="6" s="1"/>
  <c r="AC37" i="7"/>
  <c r="D32" i="6" s="1"/>
  <c r="Q17" i="6"/>
  <c r="R17" i="6" s="1"/>
  <c r="AH37" i="7" s="1"/>
  <c r="AC44" i="7"/>
  <c r="D39" i="6" s="1"/>
  <c r="Q24" i="6"/>
  <c r="R24" i="6" s="1"/>
  <c r="AH44" i="7" s="1"/>
  <c r="AC36" i="7"/>
  <c r="D31" i="6" s="1"/>
  <c r="Q16" i="6"/>
  <c r="R16" i="6" s="1"/>
  <c r="AH36" i="7" s="1"/>
  <c r="AC43" i="7"/>
  <c r="D38" i="6" s="1"/>
  <c r="Q23" i="6"/>
  <c r="R23" i="6" s="1"/>
  <c r="AH43" i="7" s="1"/>
  <c r="AC42" i="7"/>
  <c r="D37" i="6" s="1"/>
  <c r="Q22" i="6"/>
  <c r="R22" i="6" s="1"/>
  <c r="AH42" i="7" s="1"/>
  <c r="AC41" i="7"/>
  <c r="D36" i="6" s="1"/>
  <c r="Q21" i="6"/>
  <c r="R21" i="6" s="1"/>
  <c r="AH41" i="7" s="1"/>
  <c r="AC40" i="7"/>
  <c r="D35" i="6" s="1"/>
  <c r="Q20" i="6"/>
  <c r="R20" i="6" s="1"/>
  <c r="AH40" i="7" s="1"/>
  <c r="AC39" i="7"/>
  <c r="D34" i="6" s="1"/>
  <c r="Q19" i="6"/>
  <c r="R19" i="6" s="1"/>
  <c r="AH39" i="7" s="1"/>
  <c r="N19" i="6"/>
  <c r="S19" i="6"/>
  <c r="N20" i="6"/>
  <c r="V124" i="4"/>
  <c r="W124" i="4" s="1"/>
  <c r="S20" i="6"/>
  <c r="N21" i="6"/>
  <c r="V123" i="4"/>
  <c r="W123" i="4" s="1"/>
  <c r="S21" i="6"/>
  <c r="V142" i="4"/>
  <c r="W142" i="4" s="1"/>
  <c r="V134" i="4"/>
  <c r="W134" i="4" s="1"/>
  <c r="N22" i="6"/>
  <c r="S22" i="6"/>
  <c r="V141" i="4"/>
  <c r="W141" i="4" s="1"/>
  <c r="N15" i="6"/>
  <c r="N23" i="6"/>
  <c r="V121" i="4"/>
  <c r="X121" i="4" s="1"/>
  <c r="S15" i="6"/>
  <c r="S23" i="6"/>
  <c r="V140" i="4"/>
  <c r="N16" i="6"/>
  <c r="N24" i="6"/>
  <c r="V128" i="4"/>
  <c r="W128" i="4" s="1"/>
  <c r="V120" i="4"/>
  <c r="X120" i="4" s="1"/>
  <c r="S16" i="6"/>
  <c r="S24" i="6"/>
  <c r="V139" i="4"/>
  <c r="X139" i="4" s="1"/>
  <c r="N17" i="6"/>
  <c r="V127" i="4"/>
  <c r="W127" i="4" s="1"/>
  <c r="S17" i="6"/>
  <c r="V138" i="4"/>
  <c r="W138" i="4" s="1"/>
  <c r="N18" i="6"/>
  <c r="V126" i="4"/>
  <c r="X126" i="4" s="1"/>
  <c r="S18" i="6"/>
  <c r="V137" i="4"/>
  <c r="W137" i="4" s="1"/>
  <c r="L24" i="6"/>
  <c r="M24" i="6" s="1"/>
  <c r="AC17" i="7"/>
  <c r="S122" i="4"/>
  <c r="AD11" i="7"/>
  <c r="D20" i="6" s="1"/>
  <c r="AE13" i="7"/>
  <c r="E22" i="6" s="1"/>
  <c r="T124" i="4"/>
  <c r="S141" i="4"/>
  <c r="AD43" i="7"/>
  <c r="T136" i="4"/>
  <c r="AE38" i="7"/>
  <c r="E33" i="6" s="1"/>
  <c r="L17" i="6"/>
  <c r="M17" i="6" s="1"/>
  <c r="AC10" i="7"/>
  <c r="S119" i="4"/>
  <c r="AD8" i="7"/>
  <c r="D17" i="6" s="1"/>
  <c r="S121" i="4"/>
  <c r="AD10" i="7"/>
  <c r="D19" i="6" s="1"/>
  <c r="AE12" i="7"/>
  <c r="E21" i="6" s="1"/>
  <c r="T123" i="4"/>
  <c r="S133" i="4"/>
  <c r="AD35" i="7"/>
  <c r="S140" i="4"/>
  <c r="AD42" i="7"/>
  <c r="T135" i="4"/>
  <c r="AE37" i="7"/>
  <c r="E32" i="6" s="1"/>
  <c r="L18" i="6"/>
  <c r="M18" i="6" s="1"/>
  <c r="AH11" i="7" s="1"/>
  <c r="AC11" i="7"/>
  <c r="AD17" i="7"/>
  <c r="D26" i="6" s="1"/>
  <c r="S128" i="4"/>
  <c r="T122" i="4"/>
  <c r="AE11" i="7"/>
  <c r="E20" i="6" s="1"/>
  <c r="T133" i="4"/>
  <c r="AE35" i="7"/>
  <c r="E30" i="6" s="1"/>
  <c r="S139" i="4"/>
  <c r="AD41" i="7"/>
  <c r="T142" i="4"/>
  <c r="AE44" i="7"/>
  <c r="E39" i="6" s="1"/>
  <c r="T134" i="4"/>
  <c r="AE36" i="7"/>
  <c r="E31" i="6" s="1"/>
  <c r="AC12" i="7"/>
  <c r="L19" i="6"/>
  <c r="M19" i="6" s="1"/>
  <c r="AH12" i="7" s="1"/>
  <c r="AD16" i="7"/>
  <c r="D25" i="6" s="1"/>
  <c r="S127" i="4"/>
  <c r="AE8" i="7"/>
  <c r="E17" i="6" s="1"/>
  <c r="T119" i="4"/>
  <c r="T121" i="4"/>
  <c r="AE10" i="7"/>
  <c r="E19" i="6" s="1"/>
  <c r="S138" i="4"/>
  <c r="AD40" i="7"/>
  <c r="T141" i="4"/>
  <c r="AE43" i="7"/>
  <c r="E38" i="6" s="1"/>
  <c r="AC13" i="7"/>
  <c r="L20" i="6"/>
  <c r="M20" i="6" s="1"/>
  <c r="AH13" i="7" s="1"/>
  <c r="S126" i="4"/>
  <c r="AD15" i="7"/>
  <c r="D24" i="6" s="1"/>
  <c r="T128" i="4"/>
  <c r="AE17" i="7"/>
  <c r="E26" i="6" s="1"/>
  <c r="T120" i="4"/>
  <c r="AE9" i="7"/>
  <c r="E18" i="6" s="1"/>
  <c r="AD39" i="7"/>
  <c r="S137" i="4"/>
  <c r="T140" i="4"/>
  <c r="AE42" i="7"/>
  <c r="E37" i="6" s="1"/>
  <c r="AC14" i="7"/>
  <c r="L21" i="6"/>
  <c r="M21" i="6" s="1"/>
  <c r="AH14" i="7" s="1"/>
  <c r="S125" i="4"/>
  <c r="AD14" i="7"/>
  <c r="D23" i="6" s="1"/>
  <c r="AE16" i="7"/>
  <c r="E25" i="6" s="1"/>
  <c r="T127" i="4"/>
  <c r="AD38" i="7"/>
  <c r="S136" i="4"/>
  <c r="T139" i="4"/>
  <c r="AE41" i="7"/>
  <c r="E36" i="6" s="1"/>
  <c r="AC15" i="7"/>
  <c r="L22" i="6"/>
  <c r="M22" i="6" s="1"/>
  <c r="AH15" i="7" s="1"/>
  <c r="S124" i="4"/>
  <c r="AD13" i="7"/>
  <c r="D22" i="6" s="1"/>
  <c r="AE15" i="7"/>
  <c r="E24" i="6" s="1"/>
  <c r="T126" i="4"/>
  <c r="S135" i="4"/>
  <c r="AD37" i="7"/>
  <c r="T138" i="4"/>
  <c r="AE40" i="7"/>
  <c r="E35" i="6" s="1"/>
  <c r="L15" i="6"/>
  <c r="M15" i="6" s="1"/>
  <c r="AH8" i="7" s="1"/>
  <c r="AC8" i="7"/>
  <c r="AC16" i="7"/>
  <c r="L23" i="6"/>
  <c r="M23" i="6" s="1"/>
  <c r="AH16" i="7" s="1"/>
  <c r="S123" i="4"/>
  <c r="AD12" i="7"/>
  <c r="D21" i="6" s="1"/>
  <c r="AE14" i="7"/>
  <c r="E23" i="6" s="1"/>
  <c r="T125" i="4"/>
  <c r="S142" i="4"/>
  <c r="AD44" i="7"/>
  <c r="S134" i="4"/>
  <c r="AD36" i="7"/>
  <c r="T137" i="4"/>
  <c r="AE39" i="7"/>
  <c r="E34" i="6" s="1"/>
  <c r="G29" i="5"/>
  <c r="H32" i="5" s="1"/>
  <c r="H31" i="5"/>
  <c r="H33" i="5" s="1"/>
  <c r="P82" i="6" l="1"/>
  <c r="O82" i="6"/>
  <c r="P87" i="6"/>
  <c r="R87" i="6"/>
  <c r="S87" i="6" s="1"/>
  <c r="P80" i="6"/>
  <c r="R89" i="6"/>
  <c r="S89" i="6" s="1"/>
  <c r="P89" i="6"/>
  <c r="R88" i="6"/>
  <c r="S88" i="6" s="1"/>
  <c r="P88" i="6"/>
  <c r="X138" i="4"/>
  <c r="AG40" i="7" s="1"/>
  <c r="G35" i="6" s="1"/>
  <c r="X136" i="4"/>
  <c r="X134" i="4"/>
  <c r="AG36" i="7" s="1"/>
  <c r="G31" i="6" s="1"/>
  <c r="X137" i="4"/>
  <c r="AG39" i="7" s="1"/>
  <c r="G34" i="6" s="1"/>
  <c r="X141" i="4"/>
  <c r="AG43" i="7" s="1"/>
  <c r="G38" i="6" s="1"/>
  <c r="AG38" i="7"/>
  <c r="G33" i="6" s="1"/>
  <c r="X142" i="4"/>
  <c r="AG44" i="7" s="1"/>
  <c r="G39" i="6" s="1"/>
  <c r="X135" i="4"/>
  <c r="AG37" i="7" s="1"/>
  <c r="G32" i="6" s="1"/>
  <c r="W140" i="4"/>
  <c r="X140" i="4"/>
  <c r="W126" i="4"/>
  <c r="AF15" i="7" s="1"/>
  <c r="F24" i="6" s="1"/>
  <c r="X124" i="4"/>
  <c r="AG13" i="7" s="1"/>
  <c r="G22" i="6" s="1"/>
  <c r="X123" i="4"/>
  <c r="AG12" i="7" s="1"/>
  <c r="G21" i="6" s="1"/>
  <c r="X128" i="4"/>
  <c r="AG17" i="7" s="1"/>
  <c r="G26" i="6" s="1"/>
  <c r="X125" i="4"/>
  <c r="AG14" i="7" s="1"/>
  <c r="G23" i="6" s="1"/>
  <c r="W139" i="4"/>
  <c r="AF41" i="7" s="1"/>
  <c r="F36" i="6" s="1"/>
  <c r="AG9" i="7"/>
  <c r="G18" i="6" s="1"/>
  <c r="AG15" i="7"/>
  <c r="G24" i="6" s="1"/>
  <c r="X127" i="4"/>
  <c r="AG16" i="7" s="1"/>
  <c r="G25" i="6" s="1"/>
  <c r="X122" i="4"/>
  <c r="AG11" i="7" s="1"/>
  <c r="G20" i="6" s="1"/>
  <c r="AF37" i="7"/>
  <c r="F32" i="6" s="1"/>
  <c r="AF11" i="7"/>
  <c r="F20" i="6" s="1"/>
  <c r="AF38" i="7"/>
  <c r="F33" i="6" s="1"/>
  <c r="AF44" i="7"/>
  <c r="F39" i="6" s="1"/>
  <c r="AF14" i="7"/>
  <c r="F23" i="6" s="1"/>
  <c r="AF40" i="7"/>
  <c r="F35" i="6" s="1"/>
  <c r="AF17" i="7"/>
  <c r="F26" i="6" s="1"/>
  <c r="T143" i="4"/>
  <c r="T129" i="4"/>
  <c r="S143" i="4"/>
  <c r="AF39" i="7"/>
  <c r="F34" i="6" s="1"/>
  <c r="AF16" i="7"/>
  <c r="F25" i="6" s="1"/>
  <c r="AF12" i="7"/>
  <c r="F21" i="6" s="1"/>
  <c r="AF13" i="7"/>
  <c r="F22" i="6" s="1"/>
  <c r="AF36" i="7"/>
  <c r="F31" i="6" s="1"/>
  <c r="AF43" i="7"/>
  <c r="F38" i="6" s="1"/>
  <c r="V129" i="4"/>
  <c r="AG35" i="7"/>
  <c r="G30" i="6" s="1"/>
  <c r="V143" i="4"/>
  <c r="W121" i="4"/>
  <c r="AH17" i="7"/>
  <c r="K29" i="6"/>
  <c r="AH35" i="7"/>
  <c r="R25" i="6"/>
  <c r="AH10" i="7"/>
  <c r="AF8" i="7"/>
  <c r="F17" i="6" s="1"/>
  <c r="G17" i="6"/>
  <c r="Y123" i="6" l="1"/>
  <c r="AA103" i="6"/>
  <c r="AA119" i="6"/>
  <c r="J60" i="4" s="1"/>
  <c r="AB123" i="6"/>
  <c r="AF95" i="6"/>
  <c r="AE95" i="6"/>
  <c r="Y95" i="6"/>
  <c r="Y111" i="6"/>
  <c r="Z111" i="6"/>
  <c r="AA95" i="6"/>
  <c r="Y107" i="6"/>
  <c r="AB119" i="6"/>
  <c r="K60" i="4" s="1"/>
  <c r="AA99" i="6"/>
  <c r="AF99" i="6"/>
  <c r="Y99" i="6"/>
  <c r="AA111" i="6"/>
  <c r="Z95" i="6"/>
  <c r="AA123" i="6"/>
  <c r="Y119" i="6"/>
  <c r="H60" i="4" s="1"/>
  <c r="Z123" i="6"/>
  <c r="AF119" i="6"/>
  <c r="O60" i="4" s="1"/>
  <c r="AF111" i="6"/>
  <c r="AF103" i="6"/>
  <c r="Z107" i="6"/>
  <c r="Z115" i="6"/>
  <c r="Z99" i="6"/>
  <c r="Y115" i="6"/>
  <c r="AA107" i="6"/>
  <c r="AA115" i="6"/>
  <c r="AD123" i="6"/>
  <c r="Y103" i="6"/>
  <c r="Z103" i="6"/>
  <c r="Z119" i="6"/>
  <c r="I60" i="4" s="1"/>
  <c r="AF123" i="6"/>
  <c r="AF115" i="6"/>
  <c r="AF107" i="6"/>
  <c r="S123" i="6"/>
  <c r="R123" i="6"/>
  <c r="R111" i="6"/>
  <c r="R115" i="6"/>
  <c r="U115" i="6" s="1"/>
  <c r="W115" i="6" s="1"/>
  <c r="T123" i="6"/>
  <c r="G60" i="4" s="1"/>
  <c r="T119" i="6"/>
  <c r="R119" i="6"/>
  <c r="U119" i="6" s="1"/>
  <c r="W119" i="6" s="1"/>
  <c r="T107" i="6"/>
  <c r="T103" i="6"/>
  <c r="S103" i="6"/>
  <c r="T115" i="6"/>
  <c r="T95" i="6"/>
  <c r="S99" i="6"/>
  <c r="R107" i="6"/>
  <c r="S119" i="6"/>
  <c r="V119" i="6" s="1"/>
  <c r="X119" i="6" s="1"/>
  <c r="S107" i="6"/>
  <c r="V107" i="6" s="1"/>
  <c r="X107" i="6" s="1"/>
  <c r="R99" i="6"/>
  <c r="S111" i="6"/>
  <c r="V111" i="6" s="1"/>
  <c r="X111" i="6" s="1"/>
  <c r="T99" i="6"/>
  <c r="S95" i="6"/>
  <c r="T111" i="6"/>
  <c r="R95" i="6"/>
  <c r="R103" i="6"/>
  <c r="Q123" i="6"/>
  <c r="D60" i="4" s="1"/>
  <c r="Q119" i="6"/>
  <c r="Q103" i="6"/>
  <c r="Q115" i="6"/>
  <c r="Q95" i="6"/>
  <c r="Q99" i="6"/>
  <c r="Q107" i="6"/>
  <c r="Q111" i="6"/>
  <c r="Y104" i="6"/>
  <c r="AA108" i="6"/>
  <c r="Y124" i="6"/>
  <c r="Z104" i="6"/>
  <c r="Z120" i="6"/>
  <c r="I61" i="4" s="1"/>
  <c r="AB124" i="6"/>
  <c r="AF124" i="6"/>
  <c r="AF116" i="6"/>
  <c r="AF108" i="6"/>
  <c r="Z96" i="6"/>
  <c r="AA112" i="6"/>
  <c r="Y96" i="6"/>
  <c r="Y112" i="6"/>
  <c r="AA104" i="6"/>
  <c r="AA120" i="6"/>
  <c r="J61" i="4" s="1"/>
  <c r="AA96" i="6"/>
  <c r="Y120" i="6"/>
  <c r="H61" i="4" s="1"/>
  <c r="Y100" i="6"/>
  <c r="Z116" i="6"/>
  <c r="Z112" i="6"/>
  <c r="AB120" i="6"/>
  <c r="K61" i="4" s="1"/>
  <c r="AA116" i="6"/>
  <c r="Y108" i="6"/>
  <c r="Z124" i="6"/>
  <c r="AD124" i="6"/>
  <c r="AF120" i="6"/>
  <c r="O61" i="4" s="1"/>
  <c r="AF112" i="6"/>
  <c r="AF104" i="6"/>
  <c r="AA100" i="6"/>
  <c r="AA124" i="6"/>
  <c r="Z100" i="6"/>
  <c r="Y116" i="6"/>
  <c r="Z108" i="6"/>
  <c r="AF100" i="6"/>
  <c r="AF96" i="6"/>
  <c r="AE96" i="6"/>
  <c r="T96" i="6"/>
  <c r="R100" i="6"/>
  <c r="S120" i="6"/>
  <c r="S112" i="6"/>
  <c r="T100" i="6"/>
  <c r="S100" i="6"/>
  <c r="V100" i="6" s="1"/>
  <c r="X100" i="6" s="1"/>
  <c r="R124" i="6"/>
  <c r="S108" i="6"/>
  <c r="V108" i="6" s="1"/>
  <c r="X108" i="6" s="1"/>
  <c r="R116" i="6"/>
  <c r="T116" i="6"/>
  <c r="T120" i="6"/>
  <c r="S124" i="6"/>
  <c r="R96" i="6"/>
  <c r="T104" i="6"/>
  <c r="R120" i="6"/>
  <c r="U120" i="6" s="1"/>
  <c r="W120" i="6" s="1"/>
  <c r="R112" i="6"/>
  <c r="U112" i="6" s="1"/>
  <c r="W112" i="6" s="1"/>
  <c r="S96" i="6"/>
  <c r="V96" i="6" s="1"/>
  <c r="X96" i="6" s="1"/>
  <c r="R108" i="6"/>
  <c r="T112" i="6"/>
  <c r="T124" i="6"/>
  <c r="G61" i="4" s="1"/>
  <c r="S104" i="6"/>
  <c r="R104" i="6"/>
  <c r="U104" i="6" s="1"/>
  <c r="W104" i="6" s="1"/>
  <c r="T108" i="6"/>
  <c r="Q108" i="6"/>
  <c r="Q100" i="6"/>
  <c r="Q112" i="6"/>
  <c r="Q116" i="6"/>
  <c r="Q96" i="6"/>
  <c r="Q124" i="6"/>
  <c r="D61" i="4" s="1"/>
  <c r="Q104" i="6"/>
  <c r="Q120" i="6"/>
  <c r="Q122" i="6"/>
  <c r="D59" i="4" s="1"/>
  <c r="F120" i="4" s="1"/>
  <c r="Q110" i="6"/>
  <c r="Q94" i="6"/>
  <c r="Q118" i="6"/>
  <c r="Q102" i="6"/>
  <c r="Q114" i="6"/>
  <c r="Q98" i="6"/>
  <c r="Q106" i="6"/>
  <c r="Y114" i="6"/>
  <c r="AE124" i="6"/>
  <c r="AE116" i="6"/>
  <c r="AE108" i="6"/>
  <c r="AF114" i="6"/>
  <c r="AE106" i="6"/>
  <c r="Z122" i="6"/>
  <c r="AF98" i="6"/>
  <c r="AA114" i="6"/>
  <c r="Y102" i="6"/>
  <c r="AF110" i="6"/>
  <c r="AE102" i="6"/>
  <c r="Z118" i="6"/>
  <c r="I59" i="4" s="1"/>
  <c r="AE99" i="6"/>
  <c r="AE104" i="6"/>
  <c r="AF94" i="6"/>
  <c r="Y122" i="6"/>
  <c r="AB122" i="6"/>
  <c r="AE119" i="6"/>
  <c r="N60" i="4" s="1"/>
  <c r="AE111" i="6"/>
  <c r="AE103" i="6"/>
  <c r="AF106" i="6"/>
  <c r="AA122" i="6"/>
  <c r="Z114" i="6"/>
  <c r="AE100" i="6"/>
  <c r="Y98" i="6"/>
  <c r="AE120" i="6"/>
  <c r="N61" i="4" s="1"/>
  <c r="AE122" i="6"/>
  <c r="Z98" i="6"/>
  <c r="Z94" i="6"/>
  <c r="Y94" i="6"/>
  <c r="Y110" i="6"/>
  <c r="AF102" i="6"/>
  <c r="AA118" i="6"/>
  <c r="J59" i="4" s="1"/>
  <c r="Z110" i="6"/>
  <c r="AE98" i="6"/>
  <c r="AA94" i="6"/>
  <c r="AE94" i="6"/>
  <c r="AE112" i="6"/>
  <c r="Z106" i="6"/>
  <c r="Y118" i="6"/>
  <c r="H59" i="4" s="1"/>
  <c r="AB118" i="6"/>
  <c r="K59" i="4" s="1"/>
  <c r="AE118" i="6"/>
  <c r="N59" i="4" s="1"/>
  <c r="AA110" i="6"/>
  <c r="Z102" i="6"/>
  <c r="AG94" i="6"/>
  <c r="Y106" i="6"/>
  <c r="AE123" i="6"/>
  <c r="AE115" i="6"/>
  <c r="AE107" i="6"/>
  <c r="AF122" i="6"/>
  <c r="AE114" i="6"/>
  <c r="AA106" i="6"/>
  <c r="AA98" i="6"/>
  <c r="AD122" i="6"/>
  <c r="AF118" i="6"/>
  <c r="O59" i="4" s="1"/>
  <c r="AE110" i="6"/>
  <c r="AA102" i="6"/>
  <c r="T102" i="6"/>
  <c r="R102" i="6"/>
  <c r="U102" i="6" s="1"/>
  <c r="W102" i="6" s="1"/>
  <c r="S98" i="6"/>
  <c r="T106" i="6"/>
  <c r="R110" i="6"/>
  <c r="U110" i="6" s="1"/>
  <c r="W110" i="6" s="1"/>
  <c r="S94" i="6"/>
  <c r="V94" i="6" s="1"/>
  <c r="X94" i="6" s="1"/>
  <c r="T114" i="6"/>
  <c r="R118" i="6"/>
  <c r="T94" i="6"/>
  <c r="R98" i="6"/>
  <c r="U98" i="6" s="1"/>
  <c r="W98" i="6" s="1"/>
  <c r="S114" i="6"/>
  <c r="S122" i="6"/>
  <c r="T122" i="6"/>
  <c r="G59" i="4" s="1"/>
  <c r="R106" i="6"/>
  <c r="R94" i="6"/>
  <c r="U94" i="6" s="1"/>
  <c r="W94" i="6" s="1"/>
  <c r="S102" i="6"/>
  <c r="V102" i="6" s="1"/>
  <c r="X102" i="6" s="1"/>
  <c r="T98" i="6"/>
  <c r="S118" i="6"/>
  <c r="R114" i="6"/>
  <c r="S110" i="6"/>
  <c r="S106" i="6"/>
  <c r="V106" i="6" s="1"/>
  <c r="X106" i="6" s="1"/>
  <c r="T110" i="6"/>
  <c r="R122" i="6"/>
  <c r="T118" i="6"/>
  <c r="AG42" i="7"/>
  <c r="G37" i="6" s="1"/>
  <c r="AF42" i="7"/>
  <c r="F37" i="6" s="1"/>
  <c r="AF50" i="7"/>
  <c r="AF51" i="7" s="1"/>
  <c r="AG41" i="7"/>
  <c r="G36" i="6" s="1"/>
  <c r="AF23" i="7"/>
  <c r="AF24" i="7" s="1"/>
  <c r="W143" i="4"/>
  <c r="AF45" i="7" s="1"/>
  <c r="AF52" i="7" s="1"/>
  <c r="AF35" i="7"/>
  <c r="F30" i="6" s="1"/>
  <c r="AF10" i="7"/>
  <c r="F19" i="6" s="1"/>
  <c r="R26" i="6"/>
  <c r="R27" i="6" s="1"/>
  <c r="AH45" i="7"/>
  <c r="V103" i="6" l="1"/>
  <c r="X103" i="6" s="1"/>
  <c r="U99" i="6"/>
  <c r="W99" i="6" s="1"/>
  <c r="V95" i="6"/>
  <c r="X95" i="6" s="1"/>
  <c r="U96" i="6"/>
  <c r="W96" i="6" s="1"/>
  <c r="V110" i="6"/>
  <c r="X110" i="6" s="1"/>
  <c r="U106" i="6"/>
  <c r="W106" i="6" s="1"/>
  <c r="E61" i="4"/>
  <c r="U124" i="6"/>
  <c r="W124" i="6" s="1"/>
  <c r="U111" i="6"/>
  <c r="W111" i="6" s="1"/>
  <c r="E60" i="4"/>
  <c r="U123" i="6"/>
  <c r="W123" i="6" s="1"/>
  <c r="V104" i="6"/>
  <c r="X104" i="6" s="1"/>
  <c r="V123" i="6"/>
  <c r="X123" i="6" s="1"/>
  <c r="F60" i="4"/>
  <c r="AC9" i="7"/>
  <c r="L16" i="6"/>
  <c r="M16" i="6" s="1"/>
  <c r="F59" i="4"/>
  <c r="V122" i="6"/>
  <c r="X122" i="6" s="1"/>
  <c r="U114" i="6"/>
  <c r="W114" i="6" s="1"/>
  <c r="V114" i="6"/>
  <c r="X114" i="6" s="1"/>
  <c r="V98" i="6"/>
  <c r="X98" i="6" s="1"/>
  <c r="F61" i="4"/>
  <c r="V124" i="6"/>
  <c r="X124" i="6" s="1"/>
  <c r="V112" i="6"/>
  <c r="X112" i="6" s="1"/>
  <c r="S115" i="6"/>
  <c r="V120" i="6"/>
  <c r="X120" i="6" s="1"/>
  <c r="U103" i="6"/>
  <c r="W103" i="6" s="1"/>
  <c r="V118" i="6"/>
  <c r="X118" i="6" s="1"/>
  <c r="U108" i="6"/>
  <c r="W108" i="6" s="1"/>
  <c r="U116" i="6"/>
  <c r="W116" i="6" s="1"/>
  <c r="U100" i="6"/>
  <c r="W100" i="6" s="1"/>
  <c r="U95" i="6"/>
  <c r="W95" i="6" s="1"/>
  <c r="U107" i="6"/>
  <c r="W107" i="6" s="1"/>
  <c r="E59" i="4"/>
  <c r="G120" i="4" s="1"/>
  <c r="U122" i="6"/>
  <c r="W122" i="6" s="1"/>
  <c r="U118" i="6"/>
  <c r="W118" i="6" s="1"/>
  <c r="V99" i="6"/>
  <c r="X99" i="6" s="1"/>
  <c r="AF53" i="7"/>
  <c r="B97" i="6" s="1"/>
  <c r="X143" i="4"/>
  <c r="AG45" i="7" s="1"/>
  <c r="AF54" i="7" s="1"/>
  <c r="AF55" i="7" s="1"/>
  <c r="B99" i="6" s="1"/>
  <c r="AG10" i="7"/>
  <c r="G19" i="6" s="1"/>
  <c r="X129" i="4"/>
  <c r="AG18" i="7" s="1"/>
  <c r="AF27" i="7" s="1"/>
  <c r="AH47" i="7"/>
  <c r="AH46" i="7"/>
  <c r="AD9" i="7" l="1"/>
  <c r="D18" i="6" s="1"/>
  <c r="S120" i="4"/>
  <c r="S129" i="4" s="1"/>
  <c r="W120" i="4"/>
  <c r="V115" i="6"/>
  <c r="X115" i="6" s="1"/>
  <c r="S116" i="6"/>
  <c r="V116" i="6" s="1"/>
  <c r="X116" i="6" s="1"/>
  <c r="AH9" i="7"/>
  <c r="M25" i="6"/>
  <c r="AF56" i="7"/>
  <c r="AF57" i="7" s="1"/>
  <c r="B101" i="6" s="1"/>
  <c r="AF28" i="7"/>
  <c r="B98" i="6" s="1"/>
  <c r="AH18" i="7" l="1"/>
  <c r="M26" i="6"/>
  <c r="AF9" i="7"/>
  <c r="F18" i="6" s="1"/>
  <c r="W129" i="4"/>
  <c r="AF18" i="7" s="1"/>
  <c r="AF25" i="7" s="1"/>
  <c r="AF26" i="7" l="1"/>
  <c r="B96" i="6" s="1"/>
  <c r="AF29" i="7"/>
  <c r="AF30" i="7" s="1"/>
  <c r="B100" i="6" s="1"/>
  <c r="M27" i="6"/>
  <c r="AH20" i="7" s="1"/>
  <c r="AH19" i="7"/>
</calcChain>
</file>

<file path=xl/sharedStrings.xml><?xml version="1.0" encoding="utf-8"?>
<sst xmlns="http://schemas.openxmlformats.org/spreadsheetml/2006/main" count="842" uniqueCount="391">
  <si>
    <t>Hukkakerroin</t>
  </si>
  <si>
    <t>mm</t>
  </si>
  <si>
    <t>Puu:</t>
  </si>
  <si>
    <t>CLT</t>
  </si>
  <si>
    <t>w/m2K</t>
  </si>
  <si>
    <t>Jalanjälki</t>
  </si>
  <si>
    <t>Kädenjälki</t>
  </si>
  <si>
    <t>Uusiutuvat</t>
  </si>
  <si>
    <t>CO2e/kg</t>
  </si>
  <si>
    <t>-CO2e/kg</t>
  </si>
  <si>
    <t>%</t>
  </si>
  <si>
    <t>Muunnoskerroin</t>
  </si>
  <si>
    <t>kg/m3</t>
  </si>
  <si>
    <t>Lämpövastus</t>
  </si>
  <si>
    <t>Elinkaarenjälkeinen
 skenaario, Reuse</t>
  </si>
  <si>
    <t>Elinkaarenjälkeinen
 skenaario, Energy
Recovery</t>
  </si>
  <si>
    <t>Elinkaarenjälkeinen
 skenaario, Final Disposal</t>
  </si>
  <si>
    <t>Elinkaarenjälkeinen
 skenaario, Recycle as second rawmaterial</t>
  </si>
  <si>
    <t>Elinkaarenjälkeinen
 skenaario, Hazardous waste</t>
  </si>
  <si>
    <t>Betoni</t>
  </si>
  <si>
    <t>Betoniharkko, kevyt</t>
  </si>
  <si>
    <t>Kierätysmateriaalit</t>
  </si>
  <si>
    <t>Kevytsoramurske</t>
  </si>
  <si>
    <t>Betonimassiivilaatta</t>
  </si>
  <si>
    <t>Laskuja:</t>
  </si>
  <si>
    <t>Ontelolaatta, OL320</t>
  </si>
  <si>
    <t>Ontelolaatta, OL370</t>
  </si>
  <si>
    <t>Ontelolaatta, OL200</t>
  </si>
  <si>
    <t>Ontelolaatta, OL400</t>
  </si>
  <si>
    <t>Ontelolaatta, OL265</t>
  </si>
  <si>
    <t>Valmisbetoni, C20/25 vihreä</t>
  </si>
  <si>
    <t>Valmisbetoni, C25/30</t>
  </si>
  <si>
    <t>Valmisbetoni, C30/37</t>
  </si>
  <si>
    <t>Valmisbetoni, C40/50</t>
  </si>
  <si>
    <t>Valmisbetoni, C30/38 XFI</t>
  </si>
  <si>
    <t>Kivi murske</t>
  </si>
  <si>
    <t>Rakennuslevyt</t>
  </si>
  <si>
    <t>Lastulevy</t>
  </si>
  <si>
    <t>Lastulevy, melamiini pinnoitus</t>
  </si>
  <si>
    <t>Kuitusementtilevy</t>
  </si>
  <si>
    <t>Kuitulevy, kova</t>
  </si>
  <si>
    <t>Kuitulevy, puolikova</t>
  </si>
  <si>
    <t>Kuitulevy, puolikova, mdf, melamiinipinnoitettu</t>
  </si>
  <si>
    <t>Kuitulevy, huokoinen</t>
  </si>
  <si>
    <t>Kipsilevy, sisä</t>
  </si>
  <si>
    <t>Kipsilevy, palo</t>
  </si>
  <si>
    <t>Kipsilevy, tuulensuoja</t>
  </si>
  <si>
    <t>OSB-levy</t>
  </si>
  <si>
    <t>Vaneri, koivu pinnoitettu</t>
  </si>
  <si>
    <t>Vaneri, havu pinnoitettu</t>
  </si>
  <si>
    <t>Mineraali- ja lasituotteet</t>
  </si>
  <si>
    <t>Kevytbetoni, höyrykarkaistu harkko, raudoittamaton ulkokäyttöön</t>
  </si>
  <si>
    <t>Kevytbetoni, höyrykarkaistu harkko, raudoittamaton sisäkäyttöön</t>
  </si>
  <si>
    <t>Kevytbetoni, höyrykarkaistu, raudoitettu lattia- ja seinäelementti</t>
  </si>
  <si>
    <t>Poltettu tiili, vaalea</t>
  </si>
  <si>
    <t>Poltettu tiili, punainen</t>
  </si>
  <si>
    <t>tiiltä/m2</t>
  </si>
  <si>
    <t>tiili kg</t>
  </si>
  <si>
    <t>neliä/kuutio</t>
  </si>
  <si>
    <t>tiiltä/m3</t>
  </si>
  <si>
    <t>tiiltä/m3/kpl</t>
  </si>
  <si>
    <t>Muurauslaasti</t>
  </si>
  <si>
    <t>sauman osuus n. 20%</t>
  </si>
  <si>
    <t>tiili</t>
  </si>
  <si>
    <t>285*235*75</t>
  </si>
  <si>
    <t>saumaa</t>
  </si>
  <si>
    <t>m3/m3</t>
  </si>
  <si>
    <t>kg/tiili</t>
  </si>
  <si>
    <t>saumalaasti kg/tiili</t>
  </si>
  <si>
    <t>saumalastia kg/m3</t>
  </si>
  <si>
    <t>punainen</t>
  </si>
  <si>
    <t>vaalea</t>
  </si>
  <si>
    <t>Kalkkihiekkatiili</t>
  </si>
  <si>
    <t>Lattiatasoite</t>
  </si>
  <si>
    <t>Declared unit: 1 m2 assuming 34 kg</t>
  </si>
  <si>
    <t>screed (dry substance per m2)</t>
  </si>
  <si>
    <t>corresponding to 20 mm thickness</t>
  </si>
  <si>
    <t>kg</t>
  </si>
  <si>
    <t>m</t>
  </si>
  <si>
    <t>Vaahtolasimurske</t>
  </si>
  <si>
    <t>Ohutsaumalaasti menekki 29 kg/m3</t>
  </si>
  <si>
    <t>D4</t>
  </si>
  <si>
    <t>co2</t>
  </si>
  <si>
    <t>-co2</t>
  </si>
  <si>
    <t>hukka</t>
  </si>
  <si>
    <t>uus</t>
  </si>
  <si>
    <t>kier</t>
  </si>
  <si>
    <t>Ikkuna</t>
  </si>
  <si>
    <t>Puu-alumiini-ikkuna, 3-kerros</t>
  </si>
  <si>
    <t>massa</t>
  </si>
  <si>
    <t>reuse</t>
  </si>
  <si>
    <t>recycle</t>
  </si>
  <si>
    <t>energy</t>
  </si>
  <si>
    <t>final</t>
  </si>
  <si>
    <t>hazardous</t>
  </si>
  <si>
    <t>kiinteä lasijulkisivu, alumiinikehys</t>
  </si>
  <si>
    <t>kg/kpl/m2</t>
  </si>
  <si>
    <t>Ulko-ovi, lasi-alumiini</t>
  </si>
  <si>
    <t>Ulko-ovi puu-teräs</t>
  </si>
  <si>
    <t>Ulko-ovi puu-puu</t>
  </si>
  <si>
    <t>Väliovi</t>
  </si>
  <si>
    <t>Lämmön- ja vedeneristys</t>
  </si>
  <si>
    <t>Selluvilla-levy</t>
  </si>
  <si>
    <t>Selluvilla-puhallus</t>
  </si>
  <si>
    <t>Lasivillaeriste, 60kg/m3</t>
  </si>
  <si>
    <t>Kivivillaeriste, 61kg/m3, ulkoseiniin</t>
  </si>
  <si>
    <t>ESP eriste</t>
  </si>
  <si>
    <t>PIR eriste</t>
  </si>
  <si>
    <t>XPS eriste</t>
  </si>
  <si>
    <t>Akustiikkalevy, kivivilla Edge A, E</t>
  </si>
  <si>
    <t>Akustiikkalevy, kivivilla Edge B, C, D</t>
  </si>
  <si>
    <t>Höyrynsulku, PE</t>
  </si>
  <si>
    <t>Akustiikkalevy, lasivilla 40mm, A</t>
  </si>
  <si>
    <t>Akustiikkalevy, lasivilla 20mm, A</t>
  </si>
  <si>
    <t>Lattiapäällysteet ja pintamateriaalit</t>
  </si>
  <si>
    <t>kg/m2</t>
  </si>
  <si>
    <t>Parkettilattia</t>
  </si>
  <si>
    <t xml:space="preserve">Parketti </t>
  </si>
  <si>
    <t>Vinyylilaatta, PVC</t>
  </si>
  <si>
    <t>Vinyylilaatta</t>
  </si>
  <si>
    <t>Tekstiililaatta</t>
  </si>
  <si>
    <t>Koolaus rakenteessa:</t>
  </si>
  <si>
    <t>leveys</t>
  </si>
  <si>
    <t>syvyys</t>
  </si>
  <si>
    <t>k</t>
  </si>
  <si>
    <t>U-arvo</t>
  </si>
  <si>
    <t>wm2K</t>
  </si>
  <si>
    <t>erotus</t>
  </si>
  <si>
    <t>&lt;-- mitä opimme?</t>
  </si>
  <si>
    <t>3mx10m seinä</t>
  </si>
  <si>
    <t>k600-&gt;</t>
  </si>
  <si>
    <t>tolppaa</t>
  </si>
  <si>
    <t>m palkkia</t>
  </si>
  <si>
    <t>m pilaria</t>
  </si>
  <si>
    <t>m ovi ja ikkunalisä</t>
  </si>
  <si>
    <t>m puuta</t>
  </si>
  <si>
    <t>m/m2</t>
  </si>
  <si>
    <t>m2 puuta</t>
  </si>
  <si>
    <t>eristettä</t>
  </si>
  <si>
    <t>Rankarakenne/m2</t>
  </si>
  <si>
    <t>Isover 33</t>
  </si>
  <si>
    <t>m2</t>
  </si>
  <si>
    <t>kpl/m3</t>
  </si>
  <si>
    <t>pakettia/m3</t>
  </si>
  <si>
    <t>Isover RKL 31</t>
  </si>
  <si>
    <t>kg/pakkaus</t>
  </si>
  <si>
    <t>m2/pakkaus</t>
  </si>
  <si>
    <t>pakkausta/m3</t>
  </si>
  <si>
    <t>Paroc Xtra 100</t>
  </si>
  <si>
    <t>kg/paketti</t>
  </si>
  <si>
    <t>m2/paketti</t>
  </si>
  <si>
    <t>Lasivillaeriste, 20kg/m3 (Isover KL33)</t>
  </si>
  <si>
    <t>Kivivillaeriste, 29,5kg/m3, pieni tiheys (Paroc Extra, 0,36)</t>
  </si>
  <si>
    <t>Isover KL37</t>
  </si>
  <si>
    <t>Lasivillaeriste, 14kg/m3 (Isover KL37)</t>
  </si>
  <si>
    <t>Paroc Cortex one</t>
  </si>
  <si>
    <t>U-Arvo laskuri</t>
  </si>
  <si>
    <t>Ulkointavastus</t>
  </si>
  <si>
    <t>Sisäpintavastus</t>
  </si>
  <si>
    <t>Rt=</t>
  </si>
  <si>
    <t>0,04+0,13+(Am/Aw/m2K + Bm/Bw/m2K + …)</t>
  </si>
  <si>
    <t>U=</t>
  </si>
  <si>
    <t>1/Rt</t>
  </si>
  <si>
    <t>U-arvovaatimukset</t>
  </si>
  <si>
    <t>Matalaenergia</t>
  </si>
  <si>
    <t>Passiivi</t>
  </si>
  <si>
    <t>US</t>
  </si>
  <si>
    <t>YP</t>
  </si>
  <si>
    <t>AP</t>
  </si>
  <si>
    <t>Haitalliset aineet</t>
  </si>
  <si>
    <t>GLVL, liimapuu</t>
  </si>
  <si>
    <t>LVL, viilupuu</t>
  </si>
  <si>
    <t>Rakennekerros 1</t>
  </si>
  <si>
    <t>Rakennekerros 2</t>
  </si>
  <si>
    <t>Rakennekerros 3</t>
  </si>
  <si>
    <t>Rakennekerros 4</t>
  </si>
  <si>
    <t>Rakennekerros 5</t>
  </si>
  <si>
    <t>Rakennekerros 6</t>
  </si>
  <si>
    <t>Rakennekerros 7</t>
  </si>
  <si>
    <t>Rakennekerros 8</t>
  </si>
  <si>
    <t>Rakennekerros 9</t>
  </si>
  <si>
    <t>Rakennekerros 10</t>
  </si>
  <si>
    <t>Elinkaarenjäl-keinen
 skenaario, Recycle as second rawmaterial</t>
  </si>
  <si>
    <t>Muunnos-
kerroin</t>
  </si>
  <si>
    <t>OMA 1</t>
  </si>
  <si>
    <t>OMA 2</t>
  </si>
  <si>
    <t>OMA 3</t>
  </si>
  <si>
    <t>OMA 4</t>
  </si>
  <si>
    <t>OMA 5</t>
  </si>
  <si>
    <t>Rakenne nimi</t>
  </si>
  <si>
    <t>Paksuus, mm</t>
  </si>
  <si>
    <t>Paksuus</t>
  </si>
  <si>
    <t>RAKENNE 1</t>
  </si>
  <si>
    <t>RAKENNE 2</t>
  </si>
  <si>
    <t>Rakenne 1</t>
  </si>
  <si>
    <t>Rakenne 2</t>
  </si>
  <si>
    <t>Yläpohja</t>
  </si>
  <si>
    <t>Alapohja</t>
  </si>
  <si>
    <t>Ulkoseinä</t>
  </si>
  <si>
    <t>Väliseinä</t>
  </si>
  <si>
    <t>Ulkopintavastus</t>
  </si>
  <si>
    <t>RAKENNEKERROS 1</t>
  </si>
  <si>
    <t>Ulkoilma</t>
  </si>
  <si>
    <t>Sisäilma</t>
  </si>
  <si>
    <t>kgCO2e/m2</t>
  </si>
  <si>
    <t>-kgCO2e/m2</t>
  </si>
  <si>
    <t>massa/mm</t>
  </si>
  <si>
    <t>kg/mm</t>
  </si>
  <si>
    <t>levyn massa</t>
  </si>
  <si>
    <t>Jalanjälki/m3</t>
  </si>
  <si>
    <t>Laatan
Jalanjälki</t>
  </si>
  <si>
    <t>Laatan 
Kädenjälki</t>
  </si>
  <si>
    <t>S</t>
  </si>
  <si>
    <t>U-Arvo</t>
  </si>
  <si>
    <t>U-Vastus</t>
  </si>
  <si>
    <t>S-Vastus</t>
  </si>
  <si>
    <t>U-Arvo Laskuri</t>
  </si>
  <si>
    <t>RT 1</t>
  </si>
  <si>
    <t>RT 2</t>
  </si>
  <si>
    <t>RT 3</t>
  </si>
  <si>
    <t>RT 4</t>
  </si>
  <si>
    <t>RT 5</t>
  </si>
  <si>
    <t>RT 6</t>
  </si>
  <si>
    <t>RT 7</t>
  </si>
  <si>
    <t>RT 8</t>
  </si>
  <si>
    <t>RT 9</t>
  </si>
  <si>
    <t>RT 10</t>
  </si>
  <si>
    <t>S, kok</t>
  </si>
  <si>
    <t>Rakenen 1</t>
  </si>
  <si>
    <t>Rakenen 2</t>
  </si>
  <si>
    <t>Rakenne nro.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</si>
  <si>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 xml:space="preserve"> + Pintavastukset</t>
    </r>
  </si>
  <si>
    <t>Materiaali/Tyhjä</t>
  </si>
  <si>
    <t>Väliseinä, TB 150 mm</t>
  </si>
  <si>
    <t>Väliseinä, TB 200 mm</t>
  </si>
  <si>
    <t>Väliseinä, TB 250 mm</t>
  </si>
  <si>
    <t>Esivalettu TB-laatta, 260 mm</t>
  </si>
  <si>
    <t>massa
/laatta</t>
  </si>
  <si>
    <t>Rakenteet pinta-ala</t>
  </si>
  <si>
    <t>Rakenteen pinta-ala</t>
  </si>
  <si>
    <t>Rakenteen kokonais massa</t>
  </si>
  <si>
    <t>Rakenteen kokonais hiilijalanjälki</t>
  </si>
  <si>
    <t>Rakenteen kokonais hiilikädenjälki</t>
  </si>
  <si>
    <t>t</t>
  </si>
  <si>
    <t>kg/CO2e</t>
  </si>
  <si>
    <t>Rakenteen kokonais hiilitase</t>
  </si>
  <si>
    <t>Materiaalin</t>
  </si>
  <si>
    <t>Rakennekerroksen</t>
  </si>
  <si>
    <t>R</t>
  </si>
  <si>
    <t>t/CO2e</t>
  </si>
  <si>
    <t>Rankarakenteiden laskut:</t>
  </si>
  <si>
    <t>Jako</t>
  </si>
  <si>
    <t>paksuus</t>
  </si>
  <si>
    <t>Seinä/laatta</t>
  </si>
  <si>
    <t>kpl/10m</t>
  </si>
  <si>
    <t>kehä/m</t>
  </si>
  <si>
    <t>yht. M</t>
  </si>
  <si>
    <t>palkit m</t>
  </si>
  <si>
    <t>Pinta-ala m2, yht</t>
  </si>
  <si>
    <t>Osuus, %</t>
  </si>
  <si>
    <t>Kat</t>
  </si>
  <si>
    <t>Erot</t>
  </si>
  <si>
    <t>k300</t>
  </si>
  <si>
    <t>k400</t>
  </si>
  <si>
    <t>k600</t>
  </si>
  <si>
    <t>Lasivilla</t>
  </si>
  <si>
    <t>Lasivilla, puhallus</t>
  </si>
  <si>
    <t>Kivivilla</t>
  </si>
  <si>
    <t>Kivivilla, puhallus</t>
  </si>
  <si>
    <t>C24</t>
  </si>
  <si>
    <t>C24%</t>
  </si>
  <si>
    <t>Eriste %</t>
  </si>
  <si>
    <t>Rankarakenne kaavat:</t>
  </si>
  <si>
    <t>Jalka</t>
  </si>
  <si>
    <t>Käsi</t>
  </si>
  <si>
    <t>C24, höylätty</t>
  </si>
  <si>
    <t>Puu, höylätty</t>
  </si>
  <si>
    <t>muunnoskerroin, massa kg/m3</t>
  </si>
  <si>
    <t>Jalka/m3</t>
  </si>
  <si>
    <t>Käsi/m3</t>
  </si>
  <si>
    <t>jalka/mm</t>
  </si>
  <si>
    <t>käsi/mm</t>
  </si>
  <si>
    <t>Lämpövastukset, rimoitus</t>
  </si>
  <si>
    <t>100mm</t>
  </si>
  <si>
    <t>48mm</t>
  </si>
  <si>
    <t>M</t>
  </si>
  <si>
    <t>u-arv</t>
  </si>
  <si>
    <t>RT</t>
  </si>
  <si>
    <t>Korjattu RT</t>
  </si>
  <si>
    <t>PUU</t>
  </si>
  <si>
    <t>Puu, höylätty, 48mm k300</t>
  </si>
  <si>
    <t>Puu, höylätty, 48mm k400</t>
  </si>
  <si>
    <t>Puu, höylätty, 48mm k600</t>
  </si>
  <si>
    <t>Puu, höylätty, 100mm k300</t>
  </si>
  <si>
    <t>Puu, höylätty, 100mm k600</t>
  </si>
  <si>
    <t>Puu, höylätty, 100mm k400</t>
  </si>
  <si>
    <t></t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</si>
  <si>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Selluvilla-puhallus, puuranka k300</t>
    </r>
  </si>
  <si>
    <t>Lasivillaeriste, puhallusvilla (Isover InsulSafe)</t>
  </si>
  <si>
    <t>Kivivillaeriste, 33kg/m3, puhallusvilla (InsulSafe)</t>
  </si>
  <si>
    <t>OMA 6</t>
  </si>
  <si>
    <t>Omat</t>
  </si>
  <si>
    <t>jalka</t>
  </si>
  <si>
    <t>käsi</t>
  </si>
  <si>
    <t>jalka, tot</t>
  </si>
  <si>
    <t>käsi, tot</t>
  </si>
  <si>
    <t>Rakenteen 1 kokonais hiilijalanjälki</t>
  </si>
  <si>
    <t>Rakenteen 2 kokonais hiilijalanjälki</t>
  </si>
  <si>
    <t>Rakenteen 1 kokonais hiilikädenjälki</t>
  </si>
  <si>
    <t>Rakenteen 2 kokonais hiilikädenjälki</t>
  </si>
  <si>
    <t>Rakenteen 1 kokonais hiilitase</t>
  </si>
  <si>
    <t>Rakenteen 2 kokonais hiilitase</t>
  </si>
  <si>
    <r>
      <t>CO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e/kg</t>
    </r>
  </si>
  <si>
    <r>
      <t>-CO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e/kg</t>
    </r>
  </si>
  <si>
    <r>
      <t>kgCO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e/m2</t>
    </r>
  </si>
  <si>
    <r>
      <t>-kgCO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e/m2</t>
    </r>
  </si>
  <si>
    <t>w/mK</t>
  </si>
  <si>
    <r>
      <rPr>
        <sz val="11"/>
        <color theme="1"/>
        <rFont val="3DS Fonticon"/>
      </rPr>
      <t></t>
    </r>
    <r>
      <rPr>
        <sz val="11"/>
        <color theme="1"/>
        <rFont val="Calibri"/>
        <family val="2"/>
        <scheme val="minor"/>
      </rPr>
      <t>Lamellihirren kädenjälki on arvio, otettu CLT:n arvo</t>
    </r>
  </si>
  <si>
    <r>
      <rPr>
        <sz val="11"/>
        <color theme="1"/>
        <rFont val="3DS Fonticon"/>
      </rPr>
      <t></t>
    </r>
    <r>
      <rPr>
        <sz val="11"/>
        <color theme="1"/>
        <rFont val="Calibri"/>
        <family val="2"/>
        <scheme val="minor"/>
      </rPr>
      <t xml:space="preserve"> Puu, höylätty, 48mm k300,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</si>
  <si>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11"/>
        <color theme="1"/>
        <rFont val="Calibri"/>
        <family val="2"/>
        <scheme val="minor"/>
      </rPr>
      <t xml:space="preserve"> Puu, höylätty, 48mm k600,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</si>
  <si>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Puu, höylätty, 48mm k400,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</si>
  <si>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Puu, höylätty, 100mm k300,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</si>
  <si>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Puu, höylätty, 100mm k400,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</si>
  <si>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Puu, höylätty, 100mm k600,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</si>
  <si>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Poltettu tiili, punainen NRT ja saumalaasti 20%,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</si>
  <si>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Rappauslaasti, massa on arvio ja perustuu weber 414 unirenderiin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</si>
  <si>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Selluvilla-levy, puuranka k300,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</si>
  <si>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Selluvilla-levy, puuranka k400,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</si>
  <si>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Selluvilla-levy, puuranka k600, U-arvo, hiilijalan- ja -kädenjäljet arvioita, laskettu prosenttiosuuksina</t>
    </r>
  </si>
  <si>
    <r>
      <rPr>
        <sz val="11"/>
        <color theme="1"/>
        <rFont val="3DS Fonticon"/>
      </rPr>
      <t xml:space="preserve"> </t>
    </r>
    <r>
      <rPr>
        <sz val="11"/>
        <color theme="1"/>
        <rFont val="Calibri"/>
        <family val="2"/>
        <scheme val="minor"/>
      </rPr>
      <t>Selluvilla-puhallus,puuranka k400,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</si>
  <si>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Selluvilla-puhallus, puuranka k300,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</si>
  <si>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Lasivillaeriste, 20kg/m3, puuranka k300,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</si>
  <si>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Lasivillaeriste, 20kg/m3, puuranka k400,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</si>
  <si>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Lasivillaeriste, 20kg/m3, puuranka k600,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</si>
  <si>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Lasivillaeriste, 60kg/m3, puuranka k300,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</si>
  <si>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Lasivillaeriste, 60kg/m3, puuranka k600,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</si>
  <si>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Lasivillaeriste, 60kg/m3, puuranka k400,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</si>
  <si>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Lasivillaeriste, puhallusvilla, puuranka k300v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</si>
  <si>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Lasivillaeriste, puhallusvilla, puuranka k400,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</si>
  <si>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Lasivillaeriste, puhallusvilla, puuranka k600,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</si>
  <si>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Kivivillaeriste, 33kg/m3, puhallusvilla, puuranka k300,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</si>
  <si>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Kivivillaeriste, 33kg/m3, puhallusvilla, puuranka k400,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</si>
  <si>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Kivivillaeriste, 33kg/m3, puhallusvilla, puuranka k600,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</si>
  <si>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Kivivillaeriste, 61kg/m3, puuranka k300,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</si>
  <si>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Kivivillaeriste, 61kg/m3, puuranka k400,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</si>
  <si>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Kivivillaeriste, 61kg/m3, puuranka k600,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</si>
  <si>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Kivivillaeriste, 29,5kg/m3, puuranka k300,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</si>
  <si>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Kivivillaeriste, 29,5kg/m3, puuranka k400,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</si>
  <si>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Kivivillaeriste, 29,5kg/m3, puuranka k600, U-arvo, hiilijalan- ja -kädenjäljet arvioita, laskettu prosenttiosuuksina</t>
    </r>
  </si>
  <si>
    <r>
      <rPr>
        <sz val="11"/>
        <color theme="1"/>
        <rFont val="3DS Fonticon"/>
      </rPr>
      <t>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Tekstiililaatta, polyamidi, kokonaispaksuus 8mm, massa on kolmen eri polyamidilaatan keskiarvo</t>
    </r>
  </si>
  <si>
    <r>
      <rPr>
        <b/>
        <u/>
        <sz val="11"/>
        <color theme="1"/>
        <rFont val="3DS Fonticon"/>
      </rPr>
      <t></t>
    </r>
    <r>
      <rPr>
        <b/>
        <u/>
        <sz val="11"/>
        <color theme="1"/>
        <rFont val="Calibri"/>
        <family val="2"/>
      </rPr>
      <t xml:space="preserve"> Tähdellä merkityt materiaalit:</t>
    </r>
  </si>
  <si>
    <t xml:space="preserve">                                                                                      </t>
  </si>
  <si>
    <t xml:space="preserve">                               </t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</si>
  <si>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Lamellihirsi</t>
    </r>
  </si>
  <si>
    <r>
      <rPr>
        <sz val="11"/>
        <rFont val="3DS Fonticon"/>
      </rPr>
      <t></t>
    </r>
    <r>
      <rPr>
        <sz val="11"/>
        <rFont val="Calibri"/>
        <family val="2"/>
        <scheme val="minor"/>
      </rPr>
      <t xml:space="preserve"> Puu, höylätty, 48mm k300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</si>
  <si>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Puu, höylätty, 48mm k400</t>
    </r>
  </si>
  <si>
    <r>
      <rPr>
        <sz val="11"/>
        <rFont val="3DS Fonticon"/>
      </rPr>
      <t></t>
    </r>
    <r>
      <rPr>
        <sz val="11"/>
        <rFont val="Calibri"/>
        <family val="2"/>
        <scheme val="minor"/>
      </rPr>
      <t xml:space="preserve"> Puu, höylätty, 48mm k600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</si>
  <si>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Puu, höylätty, 100mm k300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</si>
  <si>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Puu, höylätty, 100mm k400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</si>
  <si>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Puu, höylätty, 100mm k600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</si>
  <si>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Poltettu tiili, punainen NRT ja saumalaasti 20%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</si>
  <si>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Rappauslaasti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</si>
  <si>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Selluvilla-levy, puuranka k300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</si>
  <si>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Selluvilla-levy, puuranka k400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</si>
  <si>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Selluvilla-levy, puuranka k600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</si>
  <si>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Selluvilla-puhallus, puuranka k300</t>
    </r>
  </si>
  <si>
    <r>
      <rPr>
        <sz val="11"/>
        <rFont val="3DS Fonticon"/>
      </rPr>
      <t xml:space="preserve"> </t>
    </r>
    <r>
      <rPr>
        <sz val="11"/>
        <rFont val="Calibri"/>
        <family val="2"/>
        <scheme val="minor"/>
      </rPr>
      <t>Selluvilla-puhallus,puuranka k400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</si>
  <si>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Lasivillaeriste, 20kg/m3, puuranka k300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</si>
  <si>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Lasivillaeriste, 20kg/m3, puuranka k400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</si>
  <si>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Lasivillaeriste, 20kg/m3, puuranka k600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</si>
  <si>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Lasivillaeriste, 60kg/m3, puuranka k300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</si>
  <si>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Lasivillaeriste, 60kg/m3, puuranka k400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</si>
  <si>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Lasivillaeriste, 60kg/m3, puuranka k600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</si>
  <si>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Lasivillaeriste, puhallusvilla, puuranka k300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</si>
  <si>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Lasivillaeriste, puhallusvilla, puuranka k400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</si>
  <si>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Lasivillaeriste, puhallusvilla, puuranka k600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</si>
  <si>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Kivivillaeriste, 33kg/m3, puhallusvilla, puuranka k300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</si>
  <si>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Kivivillaeriste, 33kg/m3, puhallusvilla, puuranka k400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</si>
  <si>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Kivivillaeriste, 33kg/m3, puhallusvilla, puuranka k600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</si>
  <si>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Kivivillaeriste, 61kg/m3, puuranka k300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</si>
  <si>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Kivivillaeriste, 61kg/m3, puuranka k400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</si>
  <si>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Kivivillaeriste, 61kg/m3, puuranka k600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</si>
  <si>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Kivivillaeriste, 29,5kg/m3, puuranka k300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</si>
  <si>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Kivivillaeriste, 29,5kg/m3, puuranka k400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</si>
  <si>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Kivivillaeriste, 29,5kg/m3, puuranka k600</t>
    </r>
  </si>
  <si>
    <r>
      <rPr>
        <sz val="11"/>
        <rFont val="3DS Fonticon"/>
      </rPr>
      <t></t>
    </r>
    <r>
      <rPr>
        <sz val="9.9"/>
        <rFont val="Calibri"/>
        <family val="2"/>
      </rPr>
      <t xml:space="preserve"> </t>
    </r>
    <r>
      <rPr>
        <sz val="11"/>
        <rFont val="Calibri"/>
        <family val="2"/>
        <scheme val="minor"/>
      </rPr>
      <t>Tekstiililaatta, polyamidi</t>
    </r>
  </si>
  <si>
    <t>Rakenteissa ei ole otettu huomioon hukkakertoimia.</t>
  </si>
  <si>
    <t>HUOMIOT</t>
  </si>
  <si>
    <t>Rakenteissa on otettu huomioon vain rakenteiden valmistuksen päästöarvot A1 - A3.</t>
  </si>
  <si>
    <t>Tekijä ei vastaa rakenteiden oikeinpitävyydestä.</t>
  </si>
  <si>
    <r>
      <t xml:space="preserve">Rakenteiden ominaisuusarvot on otettu </t>
    </r>
    <r>
      <rPr>
        <i/>
        <u/>
        <sz val="11"/>
        <color theme="1"/>
        <rFont val="Calibri"/>
        <family val="2"/>
        <scheme val="minor"/>
      </rPr>
      <t>https://co2data.fi/</t>
    </r>
    <r>
      <rPr>
        <sz val="11"/>
        <color theme="1"/>
        <rFont val="Calibri"/>
        <family val="2"/>
        <scheme val="minor"/>
      </rPr>
      <t xml:space="preserve"> -sivuilta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</si>
</sst>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00000"/>
    <numFmt numFmtId="166" formatCode="0.0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1"/>
      <charset val="2"/>
      <scheme val="minor"/>
    </font>
    <font>
      <sz val="11"/>
      <color theme="1"/>
      <name val="3DS Fonticon"/>
    </font>
    <font>
      <sz val="9.9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u/>
      <sz val="11"/>
      <color theme="1"/>
      <name val="3DS Fonticon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Symbol"/>
      <family val="1"/>
      <charset val="2"/>
    </font>
    <font>
      <sz val="11"/>
      <name val="Calibri"/>
      <family val="2"/>
      <scheme val="minor"/>
    </font>
    <font>
      <sz val="11"/>
      <name val="3DS Fonticon"/>
    </font>
    <font>
      <sz val="9.9"/>
      <name val="Calibri"/>
      <family val="2"/>
    </font>
    <font>
      <sz val="8"/>
      <color theme="0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quotePrefix="1"/>
    <xf numFmtId="0" fontId="0" fillId="0" borderId="0" xfId="0" applyAlignment="1">
      <alignment wrapText="1"/>
    </xf>
    <xf numFmtId="0" fontId="0" fillId="3" borderId="1" xfId="0" applyFill="1" applyBorder="1"/>
    <xf numFmtId="0" fontId="0" fillId="3" borderId="0" xfId="0" applyFill="1"/>
    <xf numFmtId="0" fontId="0" fillId="0" borderId="0" xfId="0" applyFill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166" fontId="0" fillId="0" borderId="14" xfId="0" applyNumberFormat="1" applyBorder="1"/>
    <xf numFmtId="0" fontId="5" fillId="0" borderId="0" xfId="0" applyFont="1"/>
    <xf numFmtId="0" fontId="0" fillId="0" borderId="0" xfId="0" applyFont="1"/>
    <xf numFmtId="0" fontId="0" fillId="0" borderId="0" xfId="0" quotePrefix="1" applyBorder="1"/>
    <xf numFmtId="2" fontId="0" fillId="0" borderId="0" xfId="0" applyNumberFormat="1" applyBorder="1"/>
    <xf numFmtId="0" fontId="3" fillId="0" borderId="15" xfId="0" applyFont="1" applyBorder="1"/>
    <xf numFmtId="0" fontId="4" fillId="0" borderId="6" xfId="0" applyFont="1" applyBorder="1"/>
    <xf numFmtId="1" fontId="0" fillId="0" borderId="0" xfId="0" applyNumberFormat="1" applyBorder="1"/>
    <xf numFmtId="1" fontId="0" fillId="0" borderId="10" xfId="0" applyNumberFormat="1" applyBorder="1"/>
    <xf numFmtId="0" fontId="0" fillId="0" borderId="17" xfId="0" applyBorder="1"/>
    <xf numFmtId="0" fontId="0" fillId="3" borderId="17" xfId="0" applyFill="1" applyBorder="1"/>
    <xf numFmtId="164" fontId="0" fillId="0" borderId="7" xfId="0" applyNumberFormat="1" applyBorder="1"/>
    <xf numFmtId="164" fontId="0" fillId="0" borderId="16" xfId="0" applyNumberFormat="1" applyBorder="1"/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164" fontId="1" fillId="0" borderId="7" xfId="0" applyNumberFormat="1" applyFont="1" applyBorder="1"/>
    <xf numFmtId="0" fontId="1" fillId="0" borderId="6" xfId="0" applyFont="1" applyBorder="1"/>
    <xf numFmtId="0" fontId="8" fillId="0" borderId="0" xfId="0" applyFont="1"/>
    <xf numFmtId="2" fontId="0" fillId="0" borderId="14" xfId="0" applyNumberFormat="1" applyBorder="1"/>
    <xf numFmtId="0" fontId="0" fillId="0" borderId="0" xfId="0" applyFill="1" applyBorder="1"/>
    <xf numFmtId="0" fontId="11" fillId="0" borderId="0" xfId="0" applyFont="1"/>
    <xf numFmtId="165" fontId="11" fillId="0" borderId="0" xfId="0" applyNumberFormat="1" applyFont="1"/>
    <xf numFmtId="0" fontId="11" fillId="0" borderId="4" xfId="0" applyFont="1" applyBorder="1"/>
    <xf numFmtId="0" fontId="11" fillId="0" borderId="8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0" xfId="0" applyFont="1" applyBorder="1"/>
    <xf numFmtId="0" fontId="11" fillId="0" borderId="7" xfId="0" applyFont="1" applyBorder="1"/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11" xfId="0" applyFont="1" applyBorder="1"/>
    <xf numFmtId="0" fontId="11" fillId="0" borderId="9" xfId="0" applyFont="1" applyBorder="1"/>
    <xf numFmtId="0" fontId="11" fillId="0" borderId="12" xfId="0" applyFont="1" applyBorder="1"/>
    <xf numFmtId="0" fontId="11" fillId="0" borderId="13" xfId="0" applyFont="1" applyBorder="1"/>
    <xf numFmtId="0" fontId="11" fillId="0" borderId="2" xfId="0" applyFont="1" applyBorder="1"/>
    <xf numFmtId="0" fontId="11" fillId="0" borderId="3" xfId="0" applyFont="1" applyBorder="1"/>
    <xf numFmtId="2" fontId="11" fillId="0" borderId="0" xfId="0" applyNumberFormat="1" applyFont="1"/>
    <xf numFmtId="0" fontId="12" fillId="0" borderId="6" xfId="0" applyFont="1" applyBorder="1"/>
    <xf numFmtId="166" fontId="11" fillId="0" borderId="0" xfId="0" applyNumberFormat="1" applyFont="1"/>
    <xf numFmtId="0" fontId="10" fillId="0" borderId="0" xfId="0" applyFont="1"/>
    <xf numFmtId="0" fontId="11" fillId="2" borderId="0" xfId="0" applyFont="1" applyFill="1"/>
    <xf numFmtId="164" fontId="11" fillId="2" borderId="0" xfId="0" applyNumberFormat="1" applyFont="1" applyFill="1"/>
    <xf numFmtId="2" fontId="11" fillId="2" borderId="0" xfId="0" applyNumberFormat="1" applyFont="1" applyFill="1"/>
    <xf numFmtId="166" fontId="11" fillId="2" borderId="0" xfId="0" applyNumberFormat="1" applyFont="1" applyFill="1"/>
    <xf numFmtId="1" fontId="11" fillId="0" borderId="0" xfId="0" applyNumberFormat="1" applyFont="1"/>
    <xf numFmtId="164" fontId="11" fillId="0" borderId="0" xfId="0" applyNumberFormat="1" applyFont="1"/>
    <xf numFmtId="0" fontId="11" fillId="0" borderId="0" xfId="0" applyFont="1" applyProtection="1">
      <protection hidden="1"/>
    </xf>
    <xf numFmtId="2" fontId="11" fillId="0" borderId="0" xfId="0" applyNumberFormat="1" applyFont="1" applyProtection="1">
      <protection hidden="1"/>
    </xf>
    <xf numFmtId="0" fontId="13" fillId="0" borderId="0" xfId="0" applyFont="1" applyFill="1"/>
    <xf numFmtId="0" fontId="13" fillId="0" borderId="0" xfId="0" applyFont="1"/>
    <xf numFmtId="0" fontId="13" fillId="0" borderId="0" xfId="0" applyFont="1" applyFill="1" applyProtection="1">
      <protection locked="0"/>
    </xf>
    <xf numFmtId="0" fontId="13" fillId="0" borderId="0" xfId="0" applyFont="1" applyFill="1" applyAlignment="1" applyProtection="1">
      <alignment wrapText="1"/>
      <protection locked="0"/>
    </xf>
    <xf numFmtId="0" fontId="13" fillId="0" borderId="0" xfId="0" quotePrefix="1" applyFont="1" applyFill="1" applyProtection="1">
      <protection locked="0"/>
    </xf>
    <xf numFmtId="166" fontId="13" fillId="0" borderId="0" xfId="0" applyNumberFormat="1" applyFont="1" applyFill="1" applyProtection="1">
      <protection locked="0"/>
    </xf>
    <xf numFmtId="2" fontId="13" fillId="0" borderId="0" xfId="0" applyNumberFormat="1" applyFont="1" applyFill="1" applyProtection="1">
      <protection locked="0"/>
    </xf>
    <xf numFmtId="1" fontId="13" fillId="0" borderId="0" xfId="0" applyNumberFormat="1" applyFont="1" applyFill="1" applyProtection="1">
      <protection locked="0"/>
    </xf>
    <xf numFmtId="164" fontId="13" fillId="0" borderId="0" xfId="0" applyNumberFormat="1" applyFont="1" applyFill="1" applyProtection="1">
      <protection locked="0"/>
    </xf>
    <xf numFmtId="0" fontId="11" fillId="0" borderId="0" xfId="0" applyFont="1" applyAlignment="1">
      <alignment wrapText="1"/>
    </xf>
    <xf numFmtId="0" fontId="11" fillId="0" borderId="0" xfId="0" quotePrefix="1" applyFont="1"/>
    <xf numFmtId="0" fontId="16" fillId="0" borderId="0" xfId="0" applyFont="1"/>
    <xf numFmtId="0" fontId="17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Rakenteiden hiilitasevertailu, kgCO</a:t>
            </a:r>
            <a:r>
              <a:rPr lang="fi-FI" baseline="30000"/>
              <a:t>2</a:t>
            </a:r>
            <a:r>
              <a:rPr lang="fi-FI"/>
              <a:t>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1"/>
          <c:order val="0"/>
          <c:tx>
            <c:strRef>
              <c:f>'Kaavat 1'!$A$97</c:f>
              <c:strCache>
                <c:ptCount val="1"/>
                <c:pt idx="0">
                  <c:v>Rakenteen 2 kokonais hiilijalanjälki</c:v>
                </c:pt>
              </c:strCache>
            </c:strRef>
          </c:tx>
          <c:spPr>
            <a:solidFill>
              <a:schemeClr val="accent2">
                <a:lumMod val="75000"/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2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'Kaavat 1'!$B$97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EA-49EB-9488-FD61B63E2848}"/>
            </c:ext>
          </c:extLst>
        </c:ser>
        <c:ser>
          <c:idx val="0"/>
          <c:order val="1"/>
          <c:tx>
            <c:strRef>
              <c:f>'Kaavat 1'!$A$96</c:f>
              <c:strCache>
                <c:ptCount val="1"/>
                <c:pt idx="0">
                  <c:v>Rakenteen 1 kokonais hiilijalanjälki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'Kaavat 1'!$B$96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A-49EB-9488-FD61B63E2848}"/>
            </c:ext>
          </c:extLst>
        </c:ser>
        <c:ser>
          <c:idx val="3"/>
          <c:order val="2"/>
          <c:tx>
            <c:strRef>
              <c:f>'Kaavat 1'!$A$99</c:f>
              <c:strCache>
                <c:ptCount val="1"/>
                <c:pt idx="0">
                  <c:v>Rakenteen 2 kokonais hiilikädenjälki</c:v>
                </c:pt>
              </c:strCache>
            </c:strRef>
          </c:tx>
          <c:spPr>
            <a:solidFill>
              <a:schemeClr val="accent6">
                <a:lumMod val="75000"/>
                <a:alpha val="88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4">
                  <a:lumMod val="50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  <a:alpha val="88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contourClr>
                  <a:schemeClr val="accent4">
                    <a:lumMod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2EA-49EB-9488-FD61B63E2848}"/>
              </c:ext>
            </c:extLst>
          </c:dPt>
          <c:dLbls>
            <c:spPr>
              <a:solidFill>
                <a:schemeClr val="accent4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'Kaavat 1'!$B$99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EA-49EB-9488-FD61B63E2848}"/>
            </c:ext>
          </c:extLst>
        </c:ser>
        <c:ser>
          <c:idx val="2"/>
          <c:order val="3"/>
          <c:tx>
            <c:strRef>
              <c:f>'Kaavat 1'!$A$98</c:f>
              <c:strCache>
                <c:ptCount val="1"/>
                <c:pt idx="0">
                  <c:v>Rakenteen 1 kokonais hiilikädenjälki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88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3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3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'Kaavat 1'!$B$98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A-49EB-9488-FD61B63E2848}"/>
            </c:ext>
          </c:extLst>
        </c:ser>
        <c:ser>
          <c:idx val="5"/>
          <c:order val="4"/>
          <c:tx>
            <c:strRef>
              <c:f>'Kaavat 1'!$A$101</c:f>
              <c:strCache>
                <c:ptCount val="1"/>
                <c:pt idx="0">
                  <c:v>Rakenteen 2 kokonais hiilitase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  <a:alpha val="88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6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'Kaavat 1'!$B$101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EA-49EB-9488-FD61B63E2848}"/>
            </c:ext>
          </c:extLst>
        </c:ser>
        <c:ser>
          <c:idx val="4"/>
          <c:order val="5"/>
          <c:tx>
            <c:strRef>
              <c:f>'Kaavat 1'!$A$100</c:f>
              <c:strCache>
                <c:ptCount val="1"/>
                <c:pt idx="0">
                  <c:v>Rakenteen 1 kokonais hiilitase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  <a:alpha val="88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5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5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'Kaavat 1'!$B$100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EA-49EB-9488-FD61B63E28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778078176"/>
        <c:axId val="778077520"/>
        <c:axId val="0"/>
      </c:bar3DChart>
      <c:catAx>
        <c:axId val="778078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78077520"/>
        <c:crosses val="autoZero"/>
        <c:auto val="1"/>
        <c:lblAlgn val="ctr"/>
        <c:lblOffset val="100"/>
        <c:noMultiLvlLbl val="0"/>
      </c:catAx>
      <c:valAx>
        <c:axId val="77807752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77807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62361169974311"/>
          <c:y val="7.5444194100119003E-2"/>
          <c:w val="0.69011049791382018"/>
          <c:h val="0.16238048661761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709753660157993E-2"/>
          <c:y val="6.7326732673267331E-2"/>
          <c:w val="0.59555886261749014"/>
          <c:h val="0.85824552241850594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'Kaavat 1'!$B$30</c:f>
              <c:strCache>
                <c:ptCount val="1"/>
                <c:pt idx="0">
                  <c:v>Materiaali/Tyhjä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'Kaavat 1'!$C$30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0B-4F0B-ABA1-7EC8ABE1FFC0}"/>
            </c:ext>
          </c:extLst>
        </c:ser>
        <c:ser>
          <c:idx val="1"/>
          <c:order val="1"/>
          <c:tx>
            <c:strRef>
              <c:f>'Kaavat 1'!$B$31</c:f>
              <c:strCache>
                <c:ptCount val="1"/>
                <c:pt idx="0">
                  <c:v>Materiaali/Tyhjä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'Kaavat 1'!$C$31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0B-4F0B-ABA1-7EC8ABE1FFC0}"/>
            </c:ext>
          </c:extLst>
        </c:ser>
        <c:ser>
          <c:idx val="2"/>
          <c:order val="2"/>
          <c:tx>
            <c:strRef>
              <c:f>'Kaavat 1'!$B$32</c:f>
              <c:strCache>
                <c:ptCount val="1"/>
                <c:pt idx="0">
                  <c:v>Materiaali/Tyhjä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'Kaavat 1'!$C$32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0B-4F0B-ABA1-7EC8ABE1FFC0}"/>
            </c:ext>
          </c:extLst>
        </c:ser>
        <c:ser>
          <c:idx val="3"/>
          <c:order val="3"/>
          <c:tx>
            <c:strRef>
              <c:f>'Kaavat 1'!$B$33</c:f>
              <c:strCache>
                <c:ptCount val="1"/>
                <c:pt idx="0">
                  <c:v>Materiaali/Tyhjä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'Kaavat 1'!$C$33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0B-4F0B-ABA1-7EC8ABE1FFC0}"/>
            </c:ext>
          </c:extLst>
        </c:ser>
        <c:ser>
          <c:idx val="4"/>
          <c:order val="4"/>
          <c:tx>
            <c:strRef>
              <c:f>'Kaavat 1'!$B$34</c:f>
              <c:strCache>
                <c:ptCount val="1"/>
                <c:pt idx="0">
                  <c:v>Materiaali/Tyhjä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'Kaavat 1'!$C$34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0B-4F0B-ABA1-7EC8ABE1FFC0}"/>
            </c:ext>
          </c:extLst>
        </c:ser>
        <c:ser>
          <c:idx val="5"/>
          <c:order val="5"/>
          <c:tx>
            <c:strRef>
              <c:f>'Kaavat 1'!$B$35</c:f>
              <c:strCache>
                <c:ptCount val="1"/>
                <c:pt idx="0">
                  <c:v>Materiaali/Tyhjä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'Kaavat 1'!$C$35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0B-4F0B-ABA1-7EC8ABE1FFC0}"/>
            </c:ext>
          </c:extLst>
        </c:ser>
        <c:ser>
          <c:idx val="6"/>
          <c:order val="6"/>
          <c:tx>
            <c:strRef>
              <c:f>'Kaavat 1'!$B$36</c:f>
              <c:strCache>
                <c:ptCount val="1"/>
                <c:pt idx="0">
                  <c:v>Materiaali/Tyhjä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'Kaavat 1'!$C$36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0B-4F0B-ABA1-7EC8ABE1FFC0}"/>
            </c:ext>
          </c:extLst>
        </c:ser>
        <c:ser>
          <c:idx val="7"/>
          <c:order val="7"/>
          <c:tx>
            <c:strRef>
              <c:f>'Kaavat 1'!$B$37</c:f>
              <c:strCache>
                <c:ptCount val="1"/>
                <c:pt idx="0">
                  <c:v>Materiaali/Tyhjä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'Kaavat 1'!$C$37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0B-4F0B-ABA1-7EC8ABE1FFC0}"/>
            </c:ext>
          </c:extLst>
        </c:ser>
        <c:ser>
          <c:idx val="8"/>
          <c:order val="8"/>
          <c:tx>
            <c:strRef>
              <c:f>'Kaavat 1'!$B$38</c:f>
              <c:strCache>
                <c:ptCount val="1"/>
                <c:pt idx="0">
                  <c:v>Materiaali/Tyhjä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'Kaavat 1'!$C$38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0B-4F0B-ABA1-7EC8ABE1FFC0}"/>
            </c:ext>
          </c:extLst>
        </c:ser>
        <c:ser>
          <c:idx val="9"/>
          <c:order val="9"/>
          <c:tx>
            <c:strRef>
              <c:f>'Kaavat 1'!$B$39</c:f>
              <c:strCache>
                <c:ptCount val="1"/>
                <c:pt idx="0">
                  <c:v>Materiaali/Tyhjä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'Kaavat 1'!$C$39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0B-4F0B-ABA1-7EC8ABE1FF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94663032"/>
        <c:axId val="794656144"/>
        <c:axId val="0"/>
      </c:bar3DChart>
      <c:catAx>
        <c:axId val="794663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94656144"/>
        <c:crosses val="autoZero"/>
        <c:auto val="0"/>
        <c:lblAlgn val="ctr"/>
        <c:lblOffset val="100"/>
        <c:noMultiLvlLbl val="0"/>
      </c:catAx>
      <c:valAx>
        <c:axId val="794656144"/>
        <c:scaling>
          <c:orientation val="minMax"/>
          <c:max val="50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94663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779788392100201"/>
          <c:y val="6.3857176268807977E-2"/>
          <c:w val="0.36086948156809301"/>
          <c:h val="0.872776487097528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i-FI"/>
              <a:t>Rakenne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Materiaali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'Kaavat 1'!$B$17:$B$26</c:f>
              <c:strCache>
                <c:ptCount val="10"/>
                <c:pt idx="0">
                  <c:v>Materiaali/Tyhjä</c:v>
                </c:pt>
                <c:pt idx="1">
                  <c:v>Materiaali/Tyhjä</c:v>
                </c:pt>
                <c:pt idx="2">
                  <c:v>Materiaali/Tyhjä</c:v>
                </c:pt>
                <c:pt idx="3">
                  <c:v>Materiaali/Tyhjä</c:v>
                </c:pt>
                <c:pt idx="4">
                  <c:v>Materiaali/Tyhjä</c:v>
                </c:pt>
                <c:pt idx="5">
                  <c:v>Materiaali/Tyhjä</c:v>
                </c:pt>
                <c:pt idx="6">
                  <c:v>Materiaali/Tyhjä</c:v>
                </c:pt>
                <c:pt idx="7">
                  <c:v>Materiaali/Tyhjä</c:v>
                </c:pt>
                <c:pt idx="8">
                  <c:v>Materiaali/Tyhjä</c:v>
                </c:pt>
                <c:pt idx="9">
                  <c:v>Materiaali/Tyhjä</c:v>
                </c:pt>
              </c:strCache>
            </c:strRef>
          </c:cat>
          <c:val>
            <c:numRef>
              <c:f>'Kaavat 1'!$C$17:$C$26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52-4200-9263-F6C373FF5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30124680"/>
        <c:axId val="830124352"/>
      </c:barChart>
      <c:lineChart>
        <c:grouping val="standard"/>
        <c:varyColors val="0"/>
        <c:ser>
          <c:idx val="1"/>
          <c:order val="1"/>
          <c:tx>
            <c:v>Hiilijalanjälki, kgCO2e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'Kaavat 1'!$B$17:$B$26</c:f>
              <c:strCache>
                <c:ptCount val="10"/>
                <c:pt idx="0">
                  <c:v>Materiaali/Tyhjä</c:v>
                </c:pt>
                <c:pt idx="1">
                  <c:v>Materiaali/Tyhjä</c:v>
                </c:pt>
                <c:pt idx="2">
                  <c:v>Materiaali/Tyhjä</c:v>
                </c:pt>
                <c:pt idx="3">
                  <c:v>Materiaali/Tyhjä</c:v>
                </c:pt>
                <c:pt idx="4">
                  <c:v>Materiaali/Tyhjä</c:v>
                </c:pt>
                <c:pt idx="5">
                  <c:v>Materiaali/Tyhjä</c:v>
                </c:pt>
                <c:pt idx="6">
                  <c:v>Materiaali/Tyhjä</c:v>
                </c:pt>
                <c:pt idx="7">
                  <c:v>Materiaali/Tyhjä</c:v>
                </c:pt>
                <c:pt idx="8">
                  <c:v>Materiaali/Tyhjä</c:v>
                </c:pt>
                <c:pt idx="9">
                  <c:v>Materiaali/Tyhjä</c:v>
                </c:pt>
              </c:strCache>
            </c:strRef>
          </c:cat>
          <c:val>
            <c:numRef>
              <c:f>'Kaavat 1'!$F$17:$F$26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52-4200-9263-F6C373FF5E5E}"/>
            </c:ext>
          </c:extLst>
        </c:ser>
        <c:ser>
          <c:idx val="2"/>
          <c:order val="2"/>
          <c:tx>
            <c:v>Hiilikädenjälki, kgCO2e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'Kaavat 1'!$B$17:$B$26</c:f>
              <c:strCache>
                <c:ptCount val="10"/>
                <c:pt idx="0">
                  <c:v>Materiaali/Tyhjä</c:v>
                </c:pt>
                <c:pt idx="1">
                  <c:v>Materiaali/Tyhjä</c:v>
                </c:pt>
                <c:pt idx="2">
                  <c:v>Materiaali/Tyhjä</c:v>
                </c:pt>
                <c:pt idx="3">
                  <c:v>Materiaali/Tyhjä</c:v>
                </c:pt>
                <c:pt idx="4">
                  <c:v>Materiaali/Tyhjä</c:v>
                </c:pt>
                <c:pt idx="5">
                  <c:v>Materiaali/Tyhjä</c:v>
                </c:pt>
                <c:pt idx="6">
                  <c:v>Materiaali/Tyhjä</c:v>
                </c:pt>
                <c:pt idx="7">
                  <c:v>Materiaali/Tyhjä</c:v>
                </c:pt>
                <c:pt idx="8">
                  <c:v>Materiaali/Tyhjä</c:v>
                </c:pt>
                <c:pt idx="9">
                  <c:v>Materiaali/Tyhjä</c:v>
                </c:pt>
              </c:strCache>
            </c:strRef>
          </c:cat>
          <c:val>
            <c:numRef>
              <c:f>'Kaavat 1'!$G$17:$G$26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52-4200-9263-F6C373FF5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467656"/>
        <c:axId val="791465032"/>
      </c:lineChart>
      <c:catAx>
        <c:axId val="791467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91465032"/>
        <c:crosses val="autoZero"/>
        <c:auto val="1"/>
        <c:lblAlgn val="ctr"/>
        <c:lblOffset val="100"/>
        <c:noMultiLvlLbl val="0"/>
      </c:catAx>
      <c:valAx>
        <c:axId val="791465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91467656"/>
        <c:crosses val="autoZero"/>
        <c:crossBetween val="between"/>
      </c:valAx>
      <c:valAx>
        <c:axId val="8301243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30124680"/>
        <c:crosses val="max"/>
        <c:crossBetween val="between"/>
      </c:valAx>
      <c:catAx>
        <c:axId val="830124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0124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i-FI"/>
              <a:t>Rakenne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'Kaavat 1'!$B$30:$B$39</c:f>
              <c:strCache>
                <c:ptCount val="10"/>
                <c:pt idx="0">
                  <c:v>Materiaali/Tyhjä</c:v>
                </c:pt>
                <c:pt idx="1">
                  <c:v>Materiaali/Tyhjä</c:v>
                </c:pt>
                <c:pt idx="2">
                  <c:v>Materiaali/Tyhjä</c:v>
                </c:pt>
                <c:pt idx="3">
                  <c:v>Materiaali/Tyhjä</c:v>
                </c:pt>
                <c:pt idx="4">
                  <c:v>Materiaali/Tyhjä</c:v>
                </c:pt>
                <c:pt idx="5">
                  <c:v>Materiaali/Tyhjä</c:v>
                </c:pt>
                <c:pt idx="6">
                  <c:v>Materiaali/Tyhjä</c:v>
                </c:pt>
                <c:pt idx="7">
                  <c:v>Materiaali/Tyhjä</c:v>
                </c:pt>
                <c:pt idx="8">
                  <c:v>Materiaali/Tyhjä</c:v>
                </c:pt>
                <c:pt idx="9">
                  <c:v>Materiaali/Tyhjä</c:v>
                </c:pt>
              </c:strCache>
            </c:strRef>
          </c:cat>
          <c:val>
            <c:numRef>
              <c:f>'Kaavat 1'!$C$30:$C$39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D-4381-BDCB-838AF2961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30124680"/>
        <c:axId val="830124352"/>
      </c:barChart>
      <c:lineChart>
        <c:grouping val="standard"/>
        <c:varyColors val="0"/>
        <c:ser>
          <c:idx val="1"/>
          <c:order val="1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'Kaavat 1'!$B$30:$B$39</c:f>
              <c:strCache>
                <c:ptCount val="10"/>
                <c:pt idx="0">
                  <c:v>Materiaali/Tyhjä</c:v>
                </c:pt>
                <c:pt idx="1">
                  <c:v>Materiaali/Tyhjä</c:v>
                </c:pt>
                <c:pt idx="2">
                  <c:v>Materiaali/Tyhjä</c:v>
                </c:pt>
                <c:pt idx="3">
                  <c:v>Materiaali/Tyhjä</c:v>
                </c:pt>
                <c:pt idx="4">
                  <c:v>Materiaali/Tyhjä</c:v>
                </c:pt>
                <c:pt idx="5">
                  <c:v>Materiaali/Tyhjä</c:v>
                </c:pt>
                <c:pt idx="6">
                  <c:v>Materiaali/Tyhjä</c:v>
                </c:pt>
                <c:pt idx="7">
                  <c:v>Materiaali/Tyhjä</c:v>
                </c:pt>
                <c:pt idx="8">
                  <c:v>Materiaali/Tyhjä</c:v>
                </c:pt>
                <c:pt idx="9">
                  <c:v>Materiaali/Tyhjä</c:v>
                </c:pt>
              </c:strCache>
            </c:strRef>
          </c:cat>
          <c:val>
            <c:numRef>
              <c:f>'Kaavat 1'!$F$30:$F$39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FD-4381-BDCB-838AF2961045}"/>
            </c:ext>
          </c:extLst>
        </c:ser>
        <c:ser>
          <c:idx val="2"/>
          <c:order val="2"/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'Kaavat 1'!$B$30:$B$39</c:f>
              <c:strCache>
                <c:ptCount val="10"/>
                <c:pt idx="0">
                  <c:v>Materiaali/Tyhjä</c:v>
                </c:pt>
                <c:pt idx="1">
                  <c:v>Materiaali/Tyhjä</c:v>
                </c:pt>
                <c:pt idx="2">
                  <c:v>Materiaali/Tyhjä</c:v>
                </c:pt>
                <c:pt idx="3">
                  <c:v>Materiaali/Tyhjä</c:v>
                </c:pt>
                <c:pt idx="4">
                  <c:v>Materiaali/Tyhjä</c:v>
                </c:pt>
                <c:pt idx="5">
                  <c:v>Materiaali/Tyhjä</c:v>
                </c:pt>
                <c:pt idx="6">
                  <c:v>Materiaali/Tyhjä</c:v>
                </c:pt>
                <c:pt idx="7">
                  <c:v>Materiaali/Tyhjä</c:v>
                </c:pt>
                <c:pt idx="8">
                  <c:v>Materiaali/Tyhjä</c:v>
                </c:pt>
                <c:pt idx="9">
                  <c:v>Materiaali/Tyhjä</c:v>
                </c:pt>
              </c:strCache>
            </c:strRef>
          </c:cat>
          <c:val>
            <c:numRef>
              <c:f>'Kaavat 1'!$G$30:$G$39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FD-4381-BDCB-838AF2961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467656"/>
        <c:axId val="791465032"/>
      </c:lineChart>
      <c:catAx>
        <c:axId val="791467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91465032"/>
        <c:crosses val="autoZero"/>
        <c:auto val="1"/>
        <c:lblAlgn val="ctr"/>
        <c:lblOffset val="100"/>
        <c:noMultiLvlLbl val="0"/>
      </c:catAx>
      <c:valAx>
        <c:axId val="791465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91467656"/>
        <c:crosses val="autoZero"/>
        <c:crossBetween val="between"/>
      </c:valAx>
      <c:valAx>
        <c:axId val="8301243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30124680"/>
        <c:crosses val="max"/>
        <c:crossBetween val="between"/>
      </c:valAx>
      <c:catAx>
        <c:axId val="830124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0124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709753660157993E-2"/>
          <c:y val="6.7326732673267331E-2"/>
          <c:w val="0.59555886261749014"/>
          <c:h val="0.85824552241850594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'Kaavat 1'!$B$17</c:f>
              <c:strCache>
                <c:ptCount val="1"/>
                <c:pt idx="0">
                  <c:v>Materiaali/Tyhjä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mm</c:v>
              </c:pt>
            </c:strLit>
          </c:cat>
          <c:val>
            <c:numRef>
              <c:f>'Kaavat 1'!$C$17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8-40F7-9802-B3B4CDC93AC8}"/>
            </c:ext>
          </c:extLst>
        </c:ser>
        <c:ser>
          <c:idx val="1"/>
          <c:order val="1"/>
          <c:tx>
            <c:strRef>
              <c:f>'Kaavat 1'!$B$18</c:f>
              <c:strCache>
                <c:ptCount val="1"/>
                <c:pt idx="0">
                  <c:v>Materiaali/Tyhjä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mm</c:v>
              </c:pt>
            </c:strLit>
          </c:cat>
          <c:val>
            <c:numRef>
              <c:f>'Kaavat 1'!$C$18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78-40F7-9802-B3B4CDC93AC8}"/>
            </c:ext>
          </c:extLst>
        </c:ser>
        <c:ser>
          <c:idx val="2"/>
          <c:order val="2"/>
          <c:tx>
            <c:strRef>
              <c:f>'Kaavat 1'!$B$19</c:f>
              <c:strCache>
                <c:ptCount val="1"/>
                <c:pt idx="0">
                  <c:v>Materiaali/Tyhjä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mm</c:v>
              </c:pt>
            </c:strLit>
          </c:cat>
          <c:val>
            <c:numRef>
              <c:f>'Kaavat 1'!$C$19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78-40F7-9802-B3B4CDC93AC8}"/>
            </c:ext>
          </c:extLst>
        </c:ser>
        <c:ser>
          <c:idx val="3"/>
          <c:order val="3"/>
          <c:tx>
            <c:strRef>
              <c:f>'Kaavat 1'!$B$20</c:f>
              <c:strCache>
                <c:ptCount val="1"/>
                <c:pt idx="0">
                  <c:v>Materiaali/Tyhjä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mm</c:v>
              </c:pt>
            </c:strLit>
          </c:cat>
          <c:val>
            <c:numRef>
              <c:f>'Kaavat 1'!$C$20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78-40F7-9802-B3B4CDC93AC8}"/>
            </c:ext>
          </c:extLst>
        </c:ser>
        <c:ser>
          <c:idx val="4"/>
          <c:order val="4"/>
          <c:tx>
            <c:strRef>
              <c:f>'Kaavat 1'!$B$21</c:f>
              <c:strCache>
                <c:ptCount val="1"/>
                <c:pt idx="0">
                  <c:v>Materiaali/Tyhjä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mm</c:v>
              </c:pt>
            </c:strLit>
          </c:cat>
          <c:val>
            <c:numRef>
              <c:f>'Kaavat 1'!$C$21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78-40F7-9802-B3B4CDC93AC8}"/>
            </c:ext>
          </c:extLst>
        </c:ser>
        <c:ser>
          <c:idx val="5"/>
          <c:order val="5"/>
          <c:tx>
            <c:strRef>
              <c:f>'Kaavat 1'!$B$22</c:f>
              <c:strCache>
                <c:ptCount val="1"/>
                <c:pt idx="0">
                  <c:v>Materiaali/Tyhjä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mm</c:v>
              </c:pt>
            </c:strLit>
          </c:cat>
          <c:val>
            <c:numRef>
              <c:f>'Kaavat 1'!$C$22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78-40F7-9802-B3B4CDC93AC8}"/>
            </c:ext>
          </c:extLst>
        </c:ser>
        <c:ser>
          <c:idx val="6"/>
          <c:order val="6"/>
          <c:tx>
            <c:strRef>
              <c:f>'Kaavat 1'!$B$23</c:f>
              <c:strCache>
                <c:ptCount val="1"/>
                <c:pt idx="0">
                  <c:v>Materiaali/Tyhjä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mm</c:v>
              </c:pt>
            </c:strLit>
          </c:cat>
          <c:val>
            <c:numRef>
              <c:f>'Kaavat 1'!$C$23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78-40F7-9802-B3B4CDC93AC8}"/>
            </c:ext>
          </c:extLst>
        </c:ser>
        <c:ser>
          <c:idx val="7"/>
          <c:order val="7"/>
          <c:tx>
            <c:strRef>
              <c:f>'Kaavat 1'!$B$24</c:f>
              <c:strCache>
                <c:ptCount val="1"/>
                <c:pt idx="0">
                  <c:v>Materiaali/Tyhjä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mm</c:v>
              </c:pt>
            </c:strLit>
          </c:cat>
          <c:val>
            <c:numRef>
              <c:f>'Kaavat 1'!$C$24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78-40F7-9802-B3B4CDC93AC8}"/>
            </c:ext>
          </c:extLst>
        </c:ser>
        <c:ser>
          <c:idx val="8"/>
          <c:order val="8"/>
          <c:tx>
            <c:strRef>
              <c:f>'Kaavat 1'!$B$25</c:f>
              <c:strCache>
                <c:ptCount val="1"/>
                <c:pt idx="0">
                  <c:v>Materiaali/Tyhjä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mm</c:v>
              </c:pt>
            </c:strLit>
          </c:cat>
          <c:val>
            <c:numRef>
              <c:f>'Kaavat 1'!$C$25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78-40F7-9802-B3B4CDC93AC8}"/>
            </c:ext>
          </c:extLst>
        </c:ser>
        <c:ser>
          <c:idx val="9"/>
          <c:order val="9"/>
          <c:tx>
            <c:strRef>
              <c:f>'Kaavat 1'!$B$26</c:f>
              <c:strCache>
                <c:ptCount val="1"/>
                <c:pt idx="0">
                  <c:v>Materiaali/Tyhjä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mm</c:v>
              </c:pt>
            </c:strLit>
          </c:cat>
          <c:val>
            <c:numRef>
              <c:f>'Kaavat 1'!$C$26</c:f>
              <c:numCache>
                <c:formatCode>General</c:formatCode>
                <c:ptCount val="1"/>
                <c:pt idx="0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9-9778-40F7-9802-B3B4CDC93A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94663032"/>
        <c:axId val="794656144"/>
        <c:axId val="0"/>
        <c:extLst>
          <c:ext xmlns:c15="http://schemas.microsoft.com/office/drawing/2012/chart" uri="{02D57815-91ED-43cb-92C2-25804820EDAC}">
            <c15:filteredBarSeries>
              <c15:ser>
                <c:idx val="10"/>
                <c:order val="10"/>
                <c:tx>
                  <c:strRef>
                    <c:extLst>
                      <c:ext uri="{02D57815-91ED-43cb-92C2-25804820EDAC}">
                        <c15:formulaRef>
                          <c15:sqref>'Kaavat 1'!$B$17:$B$26</c15:sqref>
                        </c15:formulaRef>
                      </c:ext>
                    </c:extLst>
                    <c:strCache>
                      <c:ptCount val="1"/>
                      <c:pt idx="0">
                        <c:v>Materiaali/Tyhjä Materiaali/Tyhjä Materiaali/Tyhjä Materiaali/Tyhjä Materiaali/Tyhjä Materiaali/Tyhjä Materiaali/Tyhjä Materiaali/Tyhjä Materiaali/Tyhjä Materiaali/Tyhjä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i-FI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Lit>
                    <c:ptCount val="1"/>
                    <c:pt idx="0">
                      <c:v>mm</c:v>
                    </c:pt>
                  </c:strLit>
                </c:cat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A-9778-40F7-9802-B3B4CDC93AC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'Kaavat 1'!$D$17:$D$26</c15:sqref>
                        </c15:formulaRef>
                      </c:ext>
                    </c:extLst>
                    <c:strCache>
                      <c:ptCount val="1"/>
                      <c:pt idx="0">
                        <c:v>0,00 0,00 0,00 0,00 0,00 0,00 0,00 0,00 0,00 0,00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i-FI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778-40F7-9802-B3B4CDC93AC8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'Kaavat 1'!$E$17:$E$26</c15:sqref>
                        </c15:formulaRef>
                      </c:ext>
                    </c:extLst>
                    <c:strCache>
                      <c:ptCount val="1"/>
                      <c:pt idx="0">
                        <c:v>0,00 0,00 0,00 0,00 0,00 0,00 0,00 0,00 0,00 0,00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lumOff val="2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80000"/>
                          <a:lumOff val="2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80000"/>
                          <a:lumOff val="2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i-FI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778-40F7-9802-B3B4CDC93AC8}"/>
                  </c:ext>
                </c:extLst>
              </c15:ser>
            </c15:filteredBarSeries>
          </c:ext>
        </c:extLst>
      </c:bar3DChart>
      <c:catAx>
        <c:axId val="794663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94656144"/>
        <c:crosses val="autoZero"/>
        <c:auto val="0"/>
        <c:lblAlgn val="ctr"/>
        <c:lblOffset val="100"/>
        <c:noMultiLvlLbl val="0"/>
      </c:catAx>
      <c:valAx>
        <c:axId val="794656144"/>
        <c:scaling>
          <c:orientation val="minMax"/>
          <c:max val="50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94663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779788392100201"/>
          <c:y val="6.3857176268807977E-2"/>
          <c:w val="0.36086948156809301"/>
          <c:h val="0.872776487097528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'Kaavat 1'!$D$17:$D$26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25-4004-9C55-6CBAE884244A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'Kaavat 1'!$E$17:$E$26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25-4004-9C55-6CBAE8842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605440"/>
        <c:axId val="790601832"/>
      </c:lineChart>
      <c:catAx>
        <c:axId val="7906054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90601832"/>
        <c:crosses val="autoZero"/>
        <c:auto val="1"/>
        <c:lblAlgn val="ctr"/>
        <c:lblOffset val="100"/>
        <c:noMultiLvlLbl val="0"/>
      </c:catAx>
      <c:valAx>
        <c:axId val="790601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9060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Style="combo" dx="31" fmlaLink="Materiaalilaskut!$D$119" fmlaRange="Materiaalilaskut!$C$5:$C$107" noThreeD="1" sel="1" val="0"/>
</file>

<file path=xl/ctrlProps/ctrlProp10.xml><?xml version="1.0" encoding="utf-8"?>
<formControlPr xmlns="http://schemas.microsoft.com/office/spreadsheetml/2009/9/main" objectType="Drop" dropStyle="combo" dx="31" fmlaLink="Materiaalilaskut!$D$128" fmlaRange="Materiaalilaskut!$C$5:$C$107" noThreeD="1" sel="1" val="0"/>
</file>

<file path=xl/ctrlProps/ctrlProp11.xml><?xml version="1.0" encoding="utf-8"?>
<formControlPr xmlns="http://schemas.microsoft.com/office/spreadsheetml/2009/9/main" objectType="Drop" dropStyle="combo" dx="31" fmlaLink="Materiaalilaskut!$D$133" fmlaRange="Materiaalilaskut!$C$5:$C$107" noThreeD="1" sel="1" val="0"/>
</file>

<file path=xl/ctrlProps/ctrlProp12.xml><?xml version="1.0" encoding="utf-8"?>
<formControlPr xmlns="http://schemas.microsoft.com/office/spreadsheetml/2009/9/main" objectType="Drop" dropStyle="combo" dx="31" fmlaLink="Materiaalilaskut!$D$134" fmlaRange="Materiaalilaskut!$C$5:$C$107" noThreeD="1" sel="1" val="0"/>
</file>

<file path=xl/ctrlProps/ctrlProp13.xml><?xml version="1.0" encoding="utf-8"?>
<formControlPr xmlns="http://schemas.microsoft.com/office/spreadsheetml/2009/9/main" objectType="Drop" dropStyle="combo" dx="31" fmlaLink="Materiaalilaskut!$D$135" fmlaRange="Materiaalilaskut!$C$5:$C$107" noThreeD="1" sel="1" val="0"/>
</file>

<file path=xl/ctrlProps/ctrlProp14.xml><?xml version="1.0" encoding="utf-8"?>
<formControlPr xmlns="http://schemas.microsoft.com/office/spreadsheetml/2009/9/main" objectType="Drop" dropStyle="combo" dx="31" fmlaLink="Materiaalilaskut!$D$136" fmlaRange="Materiaalilaskut!$C$5:$C$107" noThreeD="1" sel="1" val="0"/>
</file>

<file path=xl/ctrlProps/ctrlProp15.xml><?xml version="1.0" encoding="utf-8"?>
<formControlPr xmlns="http://schemas.microsoft.com/office/spreadsheetml/2009/9/main" objectType="Drop" dropStyle="combo" dx="31" fmlaLink="Materiaalilaskut!$D$137" fmlaRange="Materiaalilaskut!$C$5:$C$107" noThreeD="1" sel="1" val="0"/>
</file>

<file path=xl/ctrlProps/ctrlProp16.xml><?xml version="1.0" encoding="utf-8"?>
<formControlPr xmlns="http://schemas.microsoft.com/office/spreadsheetml/2009/9/main" objectType="Drop" dropStyle="combo" dx="31" fmlaLink="Materiaalilaskut!$D$138" fmlaRange="Materiaalilaskut!$C$5:$C$107" noThreeD="1" sel="1" val="0"/>
</file>

<file path=xl/ctrlProps/ctrlProp17.xml><?xml version="1.0" encoding="utf-8"?>
<formControlPr xmlns="http://schemas.microsoft.com/office/spreadsheetml/2009/9/main" objectType="Drop" dropStyle="combo" dx="31" fmlaLink="Materiaalilaskut!$D$139" fmlaRange="Materiaalilaskut!$C$5:$C$107" noThreeD="1" sel="1" val="0"/>
</file>

<file path=xl/ctrlProps/ctrlProp18.xml><?xml version="1.0" encoding="utf-8"?>
<formControlPr xmlns="http://schemas.microsoft.com/office/spreadsheetml/2009/9/main" objectType="Drop" dropStyle="combo" dx="31" fmlaLink="Materiaalilaskut!$D$140" fmlaRange="Materiaalilaskut!$C$5:$C$107" noThreeD="1" sel="1" val="0"/>
</file>

<file path=xl/ctrlProps/ctrlProp19.xml><?xml version="1.0" encoding="utf-8"?>
<formControlPr xmlns="http://schemas.microsoft.com/office/spreadsheetml/2009/9/main" objectType="Drop" dropStyle="combo" dx="31" fmlaLink="Materiaalilaskut!$D$141" fmlaRange="Materiaalilaskut!$C$5:$C$107" noThreeD="1" sel="1" val="0"/>
</file>

<file path=xl/ctrlProps/ctrlProp2.xml><?xml version="1.0" encoding="utf-8"?>
<formControlPr xmlns="http://schemas.microsoft.com/office/spreadsheetml/2009/9/main" objectType="Drop" dropStyle="combo" dx="31" fmlaLink="Materiaalilaskut!$D$120" fmlaRange="Materiaalilaskut!$C$5:$C$107" noThreeD="1" sel="1" val="0"/>
</file>

<file path=xl/ctrlProps/ctrlProp20.xml><?xml version="1.0" encoding="utf-8"?>
<formControlPr xmlns="http://schemas.microsoft.com/office/spreadsheetml/2009/9/main" objectType="Drop" dropStyle="combo" dx="31" fmlaLink="Materiaalilaskut!$D$142" fmlaRange="Materiaalilaskut!$C$5:$C$107" noThreeD="1" sel="1" val="0"/>
</file>

<file path=xl/ctrlProps/ctrlProp21.xml><?xml version="1.0" encoding="utf-8"?>
<formControlPr xmlns="http://schemas.microsoft.com/office/spreadsheetml/2009/9/main" objectType="Drop" dropStyle="combo" dx="31" fmlaLink="'Kaavat 1'!$L$10" fmlaRange="'Kaavat 1'!$L$3:$L$6" noThreeD="1" sel="1" val="0"/>
</file>

<file path=xl/ctrlProps/ctrlProp22.xml><?xml version="1.0" encoding="utf-8"?>
<formControlPr xmlns="http://schemas.microsoft.com/office/spreadsheetml/2009/9/main" objectType="Drop" dropLines="5" dropStyle="combo" dx="31" fmlaLink="'Kaavat 1'!$Q$10" fmlaRange="'Kaavat 1'!$L$3:$L$6" noThreeD="1" sel="1" val="0"/>
</file>

<file path=xl/ctrlProps/ctrlProp3.xml><?xml version="1.0" encoding="utf-8"?>
<formControlPr xmlns="http://schemas.microsoft.com/office/spreadsheetml/2009/9/main" objectType="Drop" dropStyle="combo" dx="31" fmlaLink="Materiaalilaskut!$D$121" fmlaRange="Materiaalilaskut!$C$5:$C$107" noThreeD="1" sel="1" val="0"/>
</file>

<file path=xl/ctrlProps/ctrlProp4.xml><?xml version="1.0" encoding="utf-8"?>
<formControlPr xmlns="http://schemas.microsoft.com/office/spreadsheetml/2009/9/main" objectType="Drop" dropStyle="combo" dx="31" fmlaLink="Materiaalilaskut!$D$122" fmlaRange="Materiaalilaskut!$C$5:$C$107" noThreeD="1" sel="1" val="0"/>
</file>

<file path=xl/ctrlProps/ctrlProp5.xml><?xml version="1.0" encoding="utf-8"?>
<formControlPr xmlns="http://schemas.microsoft.com/office/spreadsheetml/2009/9/main" objectType="Drop" dropStyle="combo" dx="31" fmlaLink="Materiaalilaskut!$D$123" fmlaRange="Materiaalilaskut!$C$5:$C$107" noThreeD="1" sel="1" val="0"/>
</file>

<file path=xl/ctrlProps/ctrlProp6.xml><?xml version="1.0" encoding="utf-8"?>
<formControlPr xmlns="http://schemas.microsoft.com/office/spreadsheetml/2009/9/main" objectType="Drop" dropStyle="combo" dx="31" fmlaLink="Materiaalilaskut!$D$124" fmlaRange="Materiaalilaskut!$C$5:$C$107" noThreeD="1" sel="1" val="0"/>
</file>

<file path=xl/ctrlProps/ctrlProp7.xml><?xml version="1.0" encoding="utf-8"?>
<formControlPr xmlns="http://schemas.microsoft.com/office/spreadsheetml/2009/9/main" objectType="Drop" dropStyle="combo" dx="31" fmlaLink="Materiaalilaskut!$D$125" fmlaRange="Materiaalilaskut!$C$5:$C$107" noThreeD="1" sel="1" val="0"/>
</file>

<file path=xl/ctrlProps/ctrlProp8.xml><?xml version="1.0" encoding="utf-8"?>
<formControlPr xmlns="http://schemas.microsoft.com/office/spreadsheetml/2009/9/main" objectType="Drop" dropStyle="combo" dx="31" fmlaLink="Materiaalilaskut!$D$126" fmlaRange="Materiaalilaskut!$C$5:$C$107" noThreeD="1" sel="1" val="0"/>
</file>

<file path=xl/ctrlProps/ctrlProp9.xml><?xml version="1.0" encoding="utf-8"?>
<formControlPr xmlns="http://schemas.microsoft.com/office/spreadsheetml/2009/9/main" objectType="Drop" dropStyle="combo" dx="31" fmlaLink="Materiaalilaskut!$D$127" fmlaRange="Materiaalilaskut!$C$5:$C$107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282222</xdr:colOff>
      <xdr:row>7</xdr:row>
      <xdr:rowOff>148168</xdr:rowOff>
    </xdr:from>
    <xdr:to>
      <xdr:col>12</xdr:col>
      <xdr:colOff>134055</xdr:colOff>
      <xdr:row>27</xdr:row>
      <xdr:rowOff>8820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9333" y="1432279"/>
          <a:ext cx="4706055" cy="3529541"/>
        </a:xfrm>
        <a:prstGeom prst="rect">
          <a:avLst/>
        </a:prstGeom>
      </xdr:spPr>
    </xdr:pic>
    <xdr:clientData/>
  </xdr:twoCellAnchor>
  <xdr:oneCellAnchor>
    <xdr:from>
      <xdr:col>0</xdr:col>
      <xdr:colOff>197767</xdr:colOff>
      <xdr:row>0</xdr:row>
      <xdr:rowOff>95630</xdr:rowOff>
    </xdr:from>
    <xdr:ext cx="9693936" cy="1250727"/>
    <xdr:sp macro="" textlink="">
      <xdr:nvSpPr>
        <xdr:cNvPr id="4" name="Suorakulmi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7767" y="95630"/>
          <a:ext cx="9693936" cy="125072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i-FI" sz="5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Rakennekerroslaskuri hiilitaseille</a:t>
          </a:r>
        </a:p>
        <a:p>
          <a:pPr algn="ctr"/>
          <a:r>
            <a:rPr lang="fi-FI" sz="20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Tehnyt:</a:t>
          </a:r>
          <a:r>
            <a:rPr lang="fi-FI" sz="20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Topi Huhtanen LAB ammattikorkeakoulu Oy</a:t>
          </a:r>
          <a:endParaRPr lang="fi-FI" sz="20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>
    <xdr:from>
      <xdr:col>3</xdr:col>
      <xdr:colOff>155222</xdr:colOff>
      <xdr:row>27</xdr:row>
      <xdr:rowOff>105833</xdr:rowOff>
    </xdr:from>
    <xdr:to>
      <xdr:col>13</xdr:col>
      <xdr:colOff>232833</xdr:colOff>
      <xdr:row>36</xdr:row>
      <xdr:rowOff>112889</xdr:rowOff>
    </xdr:to>
    <xdr:sp macro="" textlink="">
      <xdr:nvSpPr>
        <xdr:cNvPr id="6" name="Tekstiruutu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75555" y="5058833"/>
          <a:ext cx="6145389" cy="16580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Tämä laskuri on tehty Puukerrostalon tilaamisen kehityshankkeen</a:t>
          </a:r>
          <a:r>
            <a:rPr lang="fi-FI" sz="1100" baseline="0"/>
            <a:t> tuloksena. Laskurin tarkoituksena on auttaa vertailemaan eri rakennevaihtoehtojen hiilitaseita.</a:t>
          </a:r>
        </a:p>
        <a:p>
          <a:endParaRPr lang="fi-FI" sz="1100" baseline="0"/>
        </a:p>
        <a:p>
          <a:r>
            <a:rPr lang="fi-FI" sz="1100" baseline="0"/>
            <a:t>Laskurin teki: Topi Huhtanen, LAB ammattikorkeakoulu Oy</a:t>
          </a:r>
        </a:p>
        <a:p>
          <a:r>
            <a:rPr lang="fi-FI" sz="1100" baseline="0"/>
            <a:t>                         </a:t>
          </a:r>
          <a:r>
            <a:rPr lang="fi-FI" sz="1100" i="1" baseline="0"/>
            <a:t>topi.huhtanen@lab.fi</a:t>
          </a:r>
        </a:p>
        <a:p>
          <a:endParaRPr lang="fi-FI" sz="1100"/>
        </a:p>
        <a:p>
          <a:r>
            <a:rPr lang="fi-FI" sz="1100"/>
            <a:t>Lisenssiehtot: CC+BY+SA</a:t>
          </a:r>
        </a:p>
      </xdr:txBody>
    </xdr:sp>
    <xdr:clientData/>
  </xdr:twoCellAnchor>
  <xdr:twoCellAnchor editAs="oneCell">
    <xdr:from>
      <xdr:col>0</xdr:col>
      <xdr:colOff>345722</xdr:colOff>
      <xdr:row>37</xdr:row>
      <xdr:rowOff>14111</xdr:rowOff>
    </xdr:from>
    <xdr:to>
      <xdr:col>5</xdr:col>
      <xdr:colOff>187748</xdr:colOff>
      <xdr:row>43</xdr:row>
      <xdr:rowOff>8184</xdr:rowOff>
    </xdr:to>
    <xdr:pic>
      <xdr:nvPicPr>
        <xdr:cNvPr id="10" name="Kuva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5722" y="6801555"/>
          <a:ext cx="2875915" cy="1094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7</xdr:row>
          <xdr:rowOff>76200</xdr:rowOff>
        </xdr:from>
        <xdr:to>
          <xdr:col>9</xdr:col>
          <xdr:colOff>571500</xdr:colOff>
          <xdr:row>8</xdr:row>
          <xdr:rowOff>165100</xdr:rowOff>
        </xdr:to>
        <xdr:sp macro="" textlink="">
          <xdr:nvSpPr>
            <xdr:cNvPr id="2049" name="Drop Down 1" descr="Materiaalikerros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527050</xdr:colOff>
      <xdr:row>7</xdr:row>
      <xdr:rowOff>95250</xdr:rowOff>
    </xdr:from>
    <xdr:ext cx="1530350" cy="264560"/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36650" y="831850"/>
          <a:ext cx="1530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1</a:t>
          </a:r>
        </a:p>
      </xdr:txBody>
    </xdr:sp>
    <xdr:clientData/>
  </xdr:oneCellAnchor>
  <xdr:oneCellAnchor>
    <xdr:from>
      <xdr:col>1</xdr:col>
      <xdr:colOff>508000</xdr:colOff>
      <xdr:row>12</xdr:row>
      <xdr:rowOff>133350</xdr:rowOff>
    </xdr:from>
    <xdr:ext cx="1581150" cy="264560"/>
    <xdr:sp macro="" textlink="">
      <xdr:nvSpPr>
        <xdr:cNvPr id="8" name="Tekstiruutu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117600" y="1790700"/>
          <a:ext cx="15811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2</a:t>
          </a:r>
        </a:p>
      </xdr:txBody>
    </xdr:sp>
    <xdr:clientData/>
  </xdr:oneCellAnchor>
  <xdr:oneCellAnchor>
    <xdr:from>
      <xdr:col>1</xdr:col>
      <xdr:colOff>527050</xdr:colOff>
      <xdr:row>19</xdr:row>
      <xdr:rowOff>158750</xdr:rowOff>
    </xdr:from>
    <xdr:ext cx="1238250" cy="436786"/>
    <xdr:sp macro="" textlink="">
      <xdr:nvSpPr>
        <xdr:cNvPr id="9" name="Tekstiruutu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136650" y="3105150"/>
          <a:ext cx="12382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</a:t>
          </a:r>
          <a:r>
            <a:rPr lang="fi-FI" sz="1100" baseline="0"/>
            <a:t> </a:t>
          </a:r>
          <a:r>
            <a:rPr lang="fi-FI" sz="1100"/>
            <a:t>3 </a:t>
          </a:r>
          <a:r>
            <a:rPr lang="fi-FI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paksuus [mm]</a:t>
          </a:r>
          <a:endParaRPr lang="fi-FI" sz="1100"/>
        </a:p>
      </xdr:txBody>
    </xdr:sp>
    <xdr:clientData/>
  </xdr:oneCellAnchor>
  <xdr:oneCellAnchor>
    <xdr:from>
      <xdr:col>1</xdr:col>
      <xdr:colOff>520700</xdr:colOff>
      <xdr:row>25</xdr:row>
      <xdr:rowOff>146050</xdr:rowOff>
    </xdr:from>
    <xdr:ext cx="1193800" cy="436786"/>
    <xdr:sp macro="" textlink="">
      <xdr:nvSpPr>
        <xdr:cNvPr id="10" name="Tekstiruutu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130300" y="4197350"/>
          <a:ext cx="119380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4</a:t>
          </a:r>
        </a:p>
        <a:p>
          <a:r>
            <a:rPr lang="fi-FI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paksuus [mm]</a:t>
          </a:r>
          <a:endParaRPr lang="fi-FI" sz="1100"/>
        </a:p>
      </xdr:txBody>
    </xdr:sp>
    <xdr:clientData/>
  </xdr:oneCellAnchor>
  <xdr:oneCellAnchor>
    <xdr:from>
      <xdr:col>1</xdr:col>
      <xdr:colOff>571500</xdr:colOff>
      <xdr:row>30</xdr:row>
      <xdr:rowOff>177800</xdr:rowOff>
    </xdr:from>
    <xdr:ext cx="1193800" cy="436786"/>
    <xdr:sp macro="" textlink="">
      <xdr:nvSpPr>
        <xdr:cNvPr id="11" name="Tekstiruutu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181100" y="5149850"/>
          <a:ext cx="119380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5</a:t>
          </a:r>
        </a:p>
        <a:p>
          <a:r>
            <a:rPr lang="fi-FI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paksuus [mm]</a:t>
          </a:r>
          <a:endParaRPr lang="fi-FI" sz="1100"/>
        </a:p>
      </xdr:txBody>
    </xdr:sp>
    <xdr:clientData/>
  </xdr:oneCellAnchor>
  <xdr:oneCellAnchor>
    <xdr:from>
      <xdr:col>1</xdr:col>
      <xdr:colOff>527050</xdr:colOff>
      <xdr:row>33</xdr:row>
      <xdr:rowOff>177800</xdr:rowOff>
    </xdr:from>
    <xdr:ext cx="1143000" cy="264560"/>
    <xdr:sp macro="" textlink="">
      <xdr:nvSpPr>
        <xdr:cNvPr id="12" name="Tekstiruutu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136650" y="5702300"/>
          <a:ext cx="11430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6</a:t>
          </a:r>
        </a:p>
      </xdr:txBody>
    </xdr:sp>
    <xdr:clientData/>
  </xdr:oneCellAnchor>
  <xdr:oneCellAnchor>
    <xdr:from>
      <xdr:col>1</xdr:col>
      <xdr:colOff>514350</xdr:colOff>
      <xdr:row>39</xdr:row>
      <xdr:rowOff>120650</xdr:rowOff>
    </xdr:from>
    <xdr:ext cx="1263650" cy="264560"/>
    <xdr:sp macro="" textlink="">
      <xdr:nvSpPr>
        <xdr:cNvPr id="13" name="Tekstiruutu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123950" y="6750050"/>
          <a:ext cx="1263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7</a:t>
          </a:r>
        </a:p>
      </xdr:txBody>
    </xdr:sp>
    <xdr:clientData/>
  </xdr:oneCellAnchor>
  <xdr:oneCellAnchor>
    <xdr:from>
      <xdr:col>1</xdr:col>
      <xdr:colOff>539750</xdr:colOff>
      <xdr:row>44</xdr:row>
      <xdr:rowOff>127000</xdr:rowOff>
    </xdr:from>
    <xdr:ext cx="1244600" cy="264560"/>
    <xdr:sp macro="" textlink="">
      <xdr:nvSpPr>
        <xdr:cNvPr id="14" name="Tekstiruutu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149350" y="7677150"/>
          <a:ext cx="1244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8</a:t>
          </a:r>
        </a:p>
      </xdr:txBody>
    </xdr:sp>
    <xdr:clientData/>
  </xdr:oneCellAnchor>
  <xdr:oneCellAnchor>
    <xdr:from>
      <xdr:col>1</xdr:col>
      <xdr:colOff>565150</xdr:colOff>
      <xdr:row>49</xdr:row>
      <xdr:rowOff>133350</xdr:rowOff>
    </xdr:from>
    <xdr:ext cx="1263650" cy="264560"/>
    <xdr:sp macro="" textlink="">
      <xdr:nvSpPr>
        <xdr:cNvPr id="15" name="Tekstiruutu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1174750" y="8604250"/>
          <a:ext cx="1263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9</a:t>
          </a:r>
        </a:p>
      </xdr:txBody>
    </xdr:sp>
    <xdr:clientData/>
  </xdr:oneCellAnchor>
  <xdr:oneCellAnchor>
    <xdr:from>
      <xdr:col>1</xdr:col>
      <xdr:colOff>527050</xdr:colOff>
      <xdr:row>54</xdr:row>
      <xdr:rowOff>127000</xdr:rowOff>
    </xdr:from>
    <xdr:ext cx="1231900" cy="264560"/>
    <xdr:sp macro="" textlink="">
      <xdr:nvSpPr>
        <xdr:cNvPr id="16" name="Tekstiruutu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136650" y="9518650"/>
          <a:ext cx="1231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10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12</xdr:row>
          <xdr:rowOff>139700</xdr:rowOff>
        </xdr:from>
        <xdr:to>
          <xdr:col>10</xdr:col>
          <xdr:colOff>6350</xdr:colOff>
          <xdr:row>14</xdr:row>
          <xdr:rowOff>44450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514350</xdr:colOff>
      <xdr:row>9</xdr:row>
      <xdr:rowOff>82550</xdr:rowOff>
    </xdr:from>
    <xdr:ext cx="1187450" cy="450850"/>
    <xdr:sp macro="" textlink="">
      <xdr:nvSpPr>
        <xdr:cNvPr id="20" name="Tekstiruutu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1123950" y="1187450"/>
          <a:ext cx="1187450" cy="450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1 paksuus [mm]</a:t>
          </a:r>
        </a:p>
      </xdr:txBody>
    </xdr:sp>
    <xdr:clientData/>
  </xdr:oneCellAnchor>
  <xdr:oneCellAnchor>
    <xdr:from>
      <xdr:col>1</xdr:col>
      <xdr:colOff>508000</xdr:colOff>
      <xdr:row>15</xdr:row>
      <xdr:rowOff>6350</xdr:rowOff>
    </xdr:from>
    <xdr:ext cx="1181100" cy="436786"/>
    <xdr:sp macro="" textlink="">
      <xdr:nvSpPr>
        <xdr:cNvPr id="21" name="Tekstiruutu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1117600" y="2216150"/>
          <a:ext cx="118110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2 paksuus [mm]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17</xdr:row>
          <xdr:rowOff>120650</xdr:rowOff>
        </xdr:from>
        <xdr:to>
          <xdr:col>9</xdr:col>
          <xdr:colOff>571500</xdr:colOff>
          <xdr:row>19</xdr:row>
          <xdr:rowOff>25400</xdr:rowOff>
        </xdr:to>
        <xdr:sp macro="" textlink="">
          <xdr:nvSpPr>
            <xdr:cNvPr id="2058" name="Drop Down 10" descr="Materiaalikerros 1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527050</xdr:colOff>
      <xdr:row>17</xdr:row>
      <xdr:rowOff>152400</xdr:rowOff>
    </xdr:from>
    <xdr:ext cx="1181100" cy="264560"/>
    <xdr:sp macro="" textlink="">
      <xdr:nvSpPr>
        <xdr:cNvPr id="22" name="Tekstiruutu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1136650" y="2730500"/>
          <a:ext cx="11811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</a:t>
          </a:r>
          <a:r>
            <a:rPr lang="fi-FI" sz="1100" baseline="0"/>
            <a:t> </a:t>
          </a:r>
          <a:r>
            <a:rPr lang="fi-FI" sz="1100"/>
            <a:t>3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23</xdr:row>
          <xdr:rowOff>120650</xdr:rowOff>
        </xdr:from>
        <xdr:to>
          <xdr:col>9</xdr:col>
          <xdr:colOff>571500</xdr:colOff>
          <xdr:row>25</xdr:row>
          <xdr:rowOff>25400</xdr:rowOff>
        </xdr:to>
        <xdr:sp macro="" textlink="">
          <xdr:nvSpPr>
            <xdr:cNvPr id="2059" name="Drop Down 11" descr="Materiaalikerros 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514350</xdr:colOff>
      <xdr:row>23</xdr:row>
      <xdr:rowOff>133350</xdr:rowOff>
    </xdr:from>
    <xdr:ext cx="1193800" cy="264560"/>
    <xdr:sp macro="" textlink="">
      <xdr:nvSpPr>
        <xdr:cNvPr id="23" name="Tekstiruutu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1123950" y="3816350"/>
          <a:ext cx="11938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4</a:t>
          </a:r>
        </a:p>
      </xdr:txBody>
    </xdr:sp>
    <xdr:clientData/>
  </xdr:oneCellAnchor>
  <xdr:oneCellAnchor>
    <xdr:from>
      <xdr:col>1</xdr:col>
      <xdr:colOff>539750</xdr:colOff>
      <xdr:row>28</xdr:row>
      <xdr:rowOff>146050</xdr:rowOff>
    </xdr:from>
    <xdr:ext cx="1200150" cy="264560"/>
    <xdr:sp macro="" textlink="">
      <xdr:nvSpPr>
        <xdr:cNvPr id="24" name="Tekstiruutu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1149350" y="4749800"/>
          <a:ext cx="12001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5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28</xdr:row>
          <xdr:rowOff>133350</xdr:rowOff>
        </xdr:from>
        <xdr:to>
          <xdr:col>9</xdr:col>
          <xdr:colOff>571500</xdr:colOff>
          <xdr:row>30</xdr:row>
          <xdr:rowOff>31750</xdr:rowOff>
        </xdr:to>
        <xdr:sp macro="" textlink="">
          <xdr:nvSpPr>
            <xdr:cNvPr id="2060" name="Drop Down 12" descr="Materiaalikerros 1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527050</xdr:colOff>
      <xdr:row>35</xdr:row>
      <xdr:rowOff>146050</xdr:rowOff>
    </xdr:from>
    <xdr:ext cx="1193800" cy="436786"/>
    <xdr:sp macro="" textlink="">
      <xdr:nvSpPr>
        <xdr:cNvPr id="27" name="Tekstiruutu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1136650" y="6038850"/>
          <a:ext cx="119380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6</a:t>
          </a:r>
        </a:p>
        <a:p>
          <a:r>
            <a:rPr lang="fi-FI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paksuus [mm]</a:t>
          </a:r>
          <a:endParaRPr lang="fi-FI" sz="1100"/>
        </a:p>
      </xdr:txBody>
    </xdr:sp>
    <xdr:clientData/>
  </xdr:oneCellAnchor>
  <xdr:oneCellAnchor>
    <xdr:from>
      <xdr:col>1</xdr:col>
      <xdr:colOff>539750</xdr:colOff>
      <xdr:row>41</xdr:row>
      <xdr:rowOff>127000</xdr:rowOff>
    </xdr:from>
    <xdr:ext cx="1193800" cy="436786"/>
    <xdr:sp macro="" textlink="">
      <xdr:nvSpPr>
        <xdr:cNvPr id="28" name="Tekstiruutu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1149350" y="7124700"/>
          <a:ext cx="119380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7</a:t>
          </a:r>
        </a:p>
        <a:p>
          <a:r>
            <a:rPr lang="fi-FI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paksuus [mm]</a:t>
          </a:r>
          <a:endParaRPr lang="fi-FI" sz="1100"/>
        </a:p>
      </xdr:txBody>
    </xdr:sp>
    <xdr:clientData/>
  </xdr:oneCellAnchor>
  <xdr:oneCellAnchor>
    <xdr:from>
      <xdr:col>1</xdr:col>
      <xdr:colOff>527050</xdr:colOff>
      <xdr:row>46</xdr:row>
      <xdr:rowOff>127000</xdr:rowOff>
    </xdr:from>
    <xdr:ext cx="1193800" cy="436786"/>
    <xdr:sp macro="" textlink="">
      <xdr:nvSpPr>
        <xdr:cNvPr id="29" name="Tekstiruutu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1136650" y="8045450"/>
          <a:ext cx="119380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8</a:t>
          </a:r>
        </a:p>
        <a:p>
          <a:r>
            <a:rPr lang="fi-FI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paksuus [mm]</a:t>
          </a:r>
          <a:endParaRPr lang="fi-FI" sz="1100"/>
        </a:p>
      </xdr:txBody>
    </xdr:sp>
    <xdr:clientData/>
  </xdr:oneCellAnchor>
  <xdr:oneCellAnchor>
    <xdr:from>
      <xdr:col>1</xdr:col>
      <xdr:colOff>533400</xdr:colOff>
      <xdr:row>51</xdr:row>
      <xdr:rowOff>133350</xdr:rowOff>
    </xdr:from>
    <xdr:ext cx="1193800" cy="436786"/>
    <xdr:sp macro="" textlink="">
      <xdr:nvSpPr>
        <xdr:cNvPr id="30" name="Tekstiruutu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1143000" y="8972550"/>
          <a:ext cx="119380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9</a:t>
          </a:r>
        </a:p>
        <a:p>
          <a:r>
            <a:rPr lang="fi-FI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paksuus [mm]</a:t>
          </a:r>
          <a:endParaRPr lang="fi-FI" sz="1100"/>
        </a:p>
      </xdr:txBody>
    </xdr:sp>
    <xdr:clientData/>
  </xdr:oneCellAnchor>
  <xdr:oneCellAnchor>
    <xdr:from>
      <xdr:col>1</xdr:col>
      <xdr:colOff>527050</xdr:colOff>
      <xdr:row>56</xdr:row>
      <xdr:rowOff>120650</xdr:rowOff>
    </xdr:from>
    <xdr:ext cx="1244600" cy="436786"/>
    <xdr:sp macro="" textlink="">
      <xdr:nvSpPr>
        <xdr:cNvPr id="31" name="Tekstiruutu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1136650" y="9880600"/>
          <a:ext cx="124460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10</a:t>
          </a:r>
        </a:p>
        <a:p>
          <a:r>
            <a:rPr lang="fi-FI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paksuus [mm]</a:t>
          </a:r>
          <a:endParaRPr lang="fi-FI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34</xdr:row>
          <xdr:rowOff>133350</xdr:rowOff>
        </xdr:from>
        <xdr:to>
          <xdr:col>9</xdr:col>
          <xdr:colOff>571500</xdr:colOff>
          <xdr:row>36</xdr:row>
          <xdr:rowOff>38100</xdr:rowOff>
        </xdr:to>
        <xdr:sp macro="" textlink="">
          <xdr:nvSpPr>
            <xdr:cNvPr id="2061" name="Drop Down 13" descr="Materiaalikerros 1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39</xdr:row>
          <xdr:rowOff>133350</xdr:rowOff>
        </xdr:from>
        <xdr:to>
          <xdr:col>9</xdr:col>
          <xdr:colOff>571500</xdr:colOff>
          <xdr:row>41</xdr:row>
          <xdr:rowOff>38100</xdr:rowOff>
        </xdr:to>
        <xdr:sp macro="" textlink="">
          <xdr:nvSpPr>
            <xdr:cNvPr id="2062" name="Drop Down 14" descr="Materiaalikerros 1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44</xdr:row>
          <xdr:rowOff>133350</xdr:rowOff>
        </xdr:from>
        <xdr:to>
          <xdr:col>9</xdr:col>
          <xdr:colOff>571500</xdr:colOff>
          <xdr:row>46</xdr:row>
          <xdr:rowOff>38100</xdr:rowOff>
        </xdr:to>
        <xdr:sp macro="" textlink="">
          <xdr:nvSpPr>
            <xdr:cNvPr id="2063" name="Drop Down 15" descr="Materiaalikerros 1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49</xdr:row>
          <xdr:rowOff>133350</xdr:rowOff>
        </xdr:from>
        <xdr:to>
          <xdr:col>9</xdr:col>
          <xdr:colOff>571500</xdr:colOff>
          <xdr:row>51</xdr:row>
          <xdr:rowOff>38100</xdr:rowOff>
        </xdr:to>
        <xdr:sp macro="" textlink="">
          <xdr:nvSpPr>
            <xdr:cNvPr id="2064" name="Drop Down 16" descr="Materiaalikerros 1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54</xdr:row>
          <xdr:rowOff>133350</xdr:rowOff>
        </xdr:from>
        <xdr:to>
          <xdr:col>9</xdr:col>
          <xdr:colOff>571500</xdr:colOff>
          <xdr:row>56</xdr:row>
          <xdr:rowOff>38100</xdr:rowOff>
        </xdr:to>
        <xdr:sp macro="" textlink="">
          <xdr:nvSpPr>
            <xdr:cNvPr id="2065" name="Drop Down 17" descr="Materiaalikerros 1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82550</xdr:rowOff>
        </xdr:from>
        <xdr:to>
          <xdr:col>20</xdr:col>
          <xdr:colOff>565150</xdr:colOff>
          <xdr:row>8</xdr:row>
          <xdr:rowOff>171450</xdr:rowOff>
        </xdr:to>
        <xdr:sp macro="" textlink="">
          <xdr:nvSpPr>
            <xdr:cNvPr id="2066" name="Drop Down 18" descr="Materiaalikerros 1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6350</xdr:colOff>
          <xdr:row>12</xdr:row>
          <xdr:rowOff>146050</xdr:rowOff>
        </xdr:from>
        <xdr:to>
          <xdr:col>21</xdr:col>
          <xdr:colOff>0</xdr:colOff>
          <xdr:row>14</xdr:row>
          <xdr:rowOff>50800</xdr:rowOff>
        </xdr:to>
        <xdr:sp macro="" textlink="">
          <xdr:nvSpPr>
            <xdr:cNvPr id="2067" name="Drop Down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127000</xdr:rowOff>
        </xdr:from>
        <xdr:to>
          <xdr:col>20</xdr:col>
          <xdr:colOff>565150</xdr:colOff>
          <xdr:row>19</xdr:row>
          <xdr:rowOff>31750</xdr:rowOff>
        </xdr:to>
        <xdr:sp macro="" textlink="">
          <xdr:nvSpPr>
            <xdr:cNvPr id="2068" name="Drop Down 20" descr="Materiaalikerros 1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23</xdr:row>
          <xdr:rowOff>120650</xdr:rowOff>
        </xdr:from>
        <xdr:to>
          <xdr:col>20</xdr:col>
          <xdr:colOff>577850</xdr:colOff>
          <xdr:row>25</xdr:row>
          <xdr:rowOff>25400</xdr:rowOff>
        </xdr:to>
        <xdr:sp macro="" textlink="">
          <xdr:nvSpPr>
            <xdr:cNvPr id="2075" name="Drop Down 27" descr="Materiaalikerros 1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28</xdr:row>
          <xdr:rowOff>152400</xdr:rowOff>
        </xdr:from>
        <xdr:to>
          <xdr:col>20</xdr:col>
          <xdr:colOff>584200</xdr:colOff>
          <xdr:row>30</xdr:row>
          <xdr:rowOff>50800</xdr:rowOff>
        </xdr:to>
        <xdr:sp macro="" textlink="">
          <xdr:nvSpPr>
            <xdr:cNvPr id="2076" name="Drop Down 28" descr="Materiaalikerros 1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34</xdr:row>
          <xdr:rowOff>152400</xdr:rowOff>
        </xdr:from>
        <xdr:to>
          <xdr:col>20</xdr:col>
          <xdr:colOff>584200</xdr:colOff>
          <xdr:row>36</xdr:row>
          <xdr:rowOff>57150</xdr:rowOff>
        </xdr:to>
        <xdr:sp macro="" textlink="">
          <xdr:nvSpPr>
            <xdr:cNvPr id="2077" name="Drop Down 29" descr="Materiaalikerros 1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39</xdr:row>
          <xdr:rowOff>152400</xdr:rowOff>
        </xdr:from>
        <xdr:to>
          <xdr:col>20</xdr:col>
          <xdr:colOff>584200</xdr:colOff>
          <xdr:row>41</xdr:row>
          <xdr:rowOff>57150</xdr:rowOff>
        </xdr:to>
        <xdr:sp macro="" textlink="">
          <xdr:nvSpPr>
            <xdr:cNvPr id="2078" name="Drop Down 30" descr="Materiaalikerros 1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44</xdr:row>
          <xdr:rowOff>152400</xdr:rowOff>
        </xdr:from>
        <xdr:to>
          <xdr:col>20</xdr:col>
          <xdr:colOff>584200</xdr:colOff>
          <xdr:row>46</xdr:row>
          <xdr:rowOff>57150</xdr:rowOff>
        </xdr:to>
        <xdr:sp macro="" textlink="">
          <xdr:nvSpPr>
            <xdr:cNvPr id="2079" name="Drop Down 31" descr="Materiaalikerros 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49</xdr:row>
          <xdr:rowOff>152400</xdr:rowOff>
        </xdr:from>
        <xdr:to>
          <xdr:col>20</xdr:col>
          <xdr:colOff>584200</xdr:colOff>
          <xdr:row>51</xdr:row>
          <xdr:rowOff>57150</xdr:rowOff>
        </xdr:to>
        <xdr:sp macro="" textlink="">
          <xdr:nvSpPr>
            <xdr:cNvPr id="2080" name="Drop Down 32" descr="Materiaalikerros 1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54</xdr:row>
          <xdr:rowOff>152400</xdr:rowOff>
        </xdr:from>
        <xdr:to>
          <xdr:col>20</xdr:col>
          <xdr:colOff>584200</xdr:colOff>
          <xdr:row>56</xdr:row>
          <xdr:rowOff>57150</xdr:rowOff>
        </xdr:to>
        <xdr:sp macro="" textlink="">
          <xdr:nvSpPr>
            <xdr:cNvPr id="2081" name="Drop Down 33" descr="Materiaalikerros 1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11</xdr:col>
      <xdr:colOff>520700</xdr:colOff>
      <xdr:row>8</xdr:row>
      <xdr:rowOff>19050</xdr:rowOff>
    </xdr:from>
    <xdr:ext cx="1530350" cy="264560"/>
    <xdr:sp macro="" textlink="">
      <xdr:nvSpPr>
        <xdr:cNvPr id="53" name="Tekstiruutu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7226300" y="939800"/>
          <a:ext cx="1530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1</a:t>
          </a:r>
        </a:p>
      </xdr:txBody>
    </xdr:sp>
    <xdr:clientData/>
  </xdr:oneCellAnchor>
  <xdr:oneCellAnchor>
    <xdr:from>
      <xdr:col>11</xdr:col>
      <xdr:colOff>533400</xdr:colOff>
      <xdr:row>12</xdr:row>
      <xdr:rowOff>133350</xdr:rowOff>
    </xdr:from>
    <xdr:ext cx="1581150" cy="264560"/>
    <xdr:sp macro="" textlink="">
      <xdr:nvSpPr>
        <xdr:cNvPr id="54" name="Tekstiruutu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7239000" y="1790700"/>
          <a:ext cx="15811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2</a:t>
          </a:r>
        </a:p>
      </xdr:txBody>
    </xdr:sp>
    <xdr:clientData/>
  </xdr:oneCellAnchor>
  <xdr:oneCellAnchor>
    <xdr:from>
      <xdr:col>11</xdr:col>
      <xdr:colOff>514350</xdr:colOff>
      <xdr:row>19</xdr:row>
      <xdr:rowOff>177800</xdr:rowOff>
    </xdr:from>
    <xdr:ext cx="1238250" cy="436786"/>
    <xdr:sp macro="" textlink="">
      <xdr:nvSpPr>
        <xdr:cNvPr id="55" name="Tekstiruutu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7219950" y="3124200"/>
          <a:ext cx="12382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</a:t>
          </a:r>
          <a:r>
            <a:rPr lang="fi-FI" sz="1100" baseline="0"/>
            <a:t> </a:t>
          </a:r>
          <a:r>
            <a:rPr lang="fi-FI" sz="1100"/>
            <a:t>3 </a:t>
          </a:r>
          <a:r>
            <a:rPr lang="fi-FI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paksuus [mm]</a:t>
          </a:r>
          <a:endParaRPr lang="fi-FI" sz="1100"/>
        </a:p>
      </xdr:txBody>
    </xdr:sp>
    <xdr:clientData/>
  </xdr:oneCellAnchor>
  <xdr:oneCellAnchor>
    <xdr:from>
      <xdr:col>11</xdr:col>
      <xdr:colOff>514350</xdr:colOff>
      <xdr:row>9</xdr:row>
      <xdr:rowOff>165100</xdr:rowOff>
    </xdr:from>
    <xdr:ext cx="1187450" cy="450850"/>
    <xdr:sp macro="" textlink="">
      <xdr:nvSpPr>
        <xdr:cNvPr id="56" name="Tekstiruutu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7219950" y="1270000"/>
          <a:ext cx="1187450" cy="450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1 paksuus [mm]</a:t>
          </a:r>
        </a:p>
      </xdr:txBody>
    </xdr:sp>
    <xdr:clientData/>
  </xdr:oneCellAnchor>
  <xdr:oneCellAnchor>
    <xdr:from>
      <xdr:col>11</xdr:col>
      <xdr:colOff>533400</xdr:colOff>
      <xdr:row>14</xdr:row>
      <xdr:rowOff>95250</xdr:rowOff>
    </xdr:from>
    <xdr:ext cx="1181100" cy="436786"/>
    <xdr:sp macro="" textlink="">
      <xdr:nvSpPr>
        <xdr:cNvPr id="57" name="Tekstiruutu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7239000" y="2120900"/>
          <a:ext cx="118110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2 paksuus [mm]</a:t>
          </a:r>
        </a:p>
      </xdr:txBody>
    </xdr:sp>
    <xdr:clientData/>
  </xdr:oneCellAnchor>
  <xdr:oneCellAnchor>
    <xdr:from>
      <xdr:col>11</xdr:col>
      <xdr:colOff>539750</xdr:colOff>
      <xdr:row>17</xdr:row>
      <xdr:rowOff>120650</xdr:rowOff>
    </xdr:from>
    <xdr:ext cx="1181100" cy="264560"/>
    <xdr:sp macro="" textlink="">
      <xdr:nvSpPr>
        <xdr:cNvPr id="58" name="Tekstiruutu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/>
      </xdr:nvSpPr>
      <xdr:spPr>
        <a:xfrm>
          <a:off x="7245350" y="2698750"/>
          <a:ext cx="11811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</a:t>
          </a:r>
          <a:r>
            <a:rPr lang="fi-FI" sz="1100" baseline="0"/>
            <a:t> </a:t>
          </a:r>
          <a:r>
            <a:rPr lang="fi-FI" sz="1100"/>
            <a:t>3 </a:t>
          </a:r>
        </a:p>
      </xdr:txBody>
    </xdr:sp>
    <xdr:clientData/>
  </xdr:oneCellAnchor>
  <xdr:oneCellAnchor>
    <xdr:from>
      <xdr:col>11</xdr:col>
      <xdr:colOff>520700</xdr:colOff>
      <xdr:row>25</xdr:row>
      <xdr:rowOff>139700</xdr:rowOff>
    </xdr:from>
    <xdr:ext cx="1193800" cy="436786"/>
    <xdr:sp macro="" textlink="">
      <xdr:nvSpPr>
        <xdr:cNvPr id="65" name="Tekstiruutu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7226300" y="4191000"/>
          <a:ext cx="119380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4</a:t>
          </a:r>
        </a:p>
        <a:p>
          <a:r>
            <a:rPr lang="fi-FI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paksuus [mm]</a:t>
          </a:r>
          <a:endParaRPr lang="fi-FI" sz="1100"/>
        </a:p>
      </xdr:txBody>
    </xdr:sp>
    <xdr:clientData/>
  </xdr:oneCellAnchor>
  <xdr:oneCellAnchor>
    <xdr:from>
      <xdr:col>11</xdr:col>
      <xdr:colOff>571500</xdr:colOff>
      <xdr:row>30</xdr:row>
      <xdr:rowOff>171450</xdr:rowOff>
    </xdr:from>
    <xdr:ext cx="1193800" cy="436786"/>
    <xdr:sp macro="" textlink="">
      <xdr:nvSpPr>
        <xdr:cNvPr id="66" name="Tekstiruutu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7277100" y="5143500"/>
          <a:ext cx="119380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5</a:t>
          </a:r>
        </a:p>
        <a:p>
          <a:r>
            <a:rPr lang="fi-FI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paksuus [mm]</a:t>
          </a:r>
          <a:endParaRPr lang="fi-FI" sz="1100"/>
        </a:p>
      </xdr:txBody>
    </xdr:sp>
    <xdr:clientData/>
  </xdr:oneCellAnchor>
  <xdr:oneCellAnchor>
    <xdr:from>
      <xdr:col>11</xdr:col>
      <xdr:colOff>527050</xdr:colOff>
      <xdr:row>34</xdr:row>
      <xdr:rowOff>165100</xdr:rowOff>
    </xdr:from>
    <xdr:ext cx="1143000" cy="264560"/>
    <xdr:sp macro="" textlink="">
      <xdr:nvSpPr>
        <xdr:cNvPr id="67" name="Tekstiruutu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7232650" y="5873750"/>
          <a:ext cx="11430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6</a:t>
          </a:r>
        </a:p>
      </xdr:txBody>
    </xdr:sp>
    <xdr:clientData/>
  </xdr:oneCellAnchor>
  <xdr:oneCellAnchor>
    <xdr:from>
      <xdr:col>11</xdr:col>
      <xdr:colOff>514350</xdr:colOff>
      <xdr:row>23</xdr:row>
      <xdr:rowOff>127000</xdr:rowOff>
    </xdr:from>
    <xdr:ext cx="1193800" cy="264560"/>
    <xdr:sp macro="" textlink="">
      <xdr:nvSpPr>
        <xdr:cNvPr id="68" name="Tekstiruutu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/>
      </xdr:nvSpPr>
      <xdr:spPr>
        <a:xfrm>
          <a:off x="7219950" y="3810000"/>
          <a:ext cx="11938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4</a:t>
          </a:r>
        </a:p>
      </xdr:txBody>
    </xdr:sp>
    <xdr:clientData/>
  </xdr:oneCellAnchor>
  <xdr:oneCellAnchor>
    <xdr:from>
      <xdr:col>11</xdr:col>
      <xdr:colOff>539750</xdr:colOff>
      <xdr:row>28</xdr:row>
      <xdr:rowOff>139700</xdr:rowOff>
    </xdr:from>
    <xdr:ext cx="1200150" cy="264560"/>
    <xdr:sp macro="" textlink="">
      <xdr:nvSpPr>
        <xdr:cNvPr id="69" name="Tekstiruutu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7245350" y="4743450"/>
          <a:ext cx="12001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5</a:t>
          </a:r>
        </a:p>
      </xdr:txBody>
    </xdr:sp>
    <xdr:clientData/>
  </xdr:oneCellAnchor>
  <xdr:oneCellAnchor>
    <xdr:from>
      <xdr:col>11</xdr:col>
      <xdr:colOff>527050</xdr:colOff>
      <xdr:row>36</xdr:row>
      <xdr:rowOff>133350</xdr:rowOff>
    </xdr:from>
    <xdr:ext cx="1193800" cy="436786"/>
    <xdr:sp macro="" textlink="">
      <xdr:nvSpPr>
        <xdr:cNvPr id="70" name="Tekstiruutu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7232650" y="6210300"/>
          <a:ext cx="119380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6</a:t>
          </a:r>
        </a:p>
        <a:p>
          <a:r>
            <a:rPr lang="fi-FI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paksuus [mm]</a:t>
          </a:r>
          <a:endParaRPr lang="fi-FI" sz="1100"/>
        </a:p>
      </xdr:txBody>
    </xdr:sp>
    <xdr:clientData/>
  </xdr:oneCellAnchor>
  <xdr:oneCellAnchor>
    <xdr:from>
      <xdr:col>11</xdr:col>
      <xdr:colOff>539750</xdr:colOff>
      <xdr:row>39</xdr:row>
      <xdr:rowOff>133350</xdr:rowOff>
    </xdr:from>
    <xdr:ext cx="1263650" cy="264560"/>
    <xdr:sp macro="" textlink="">
      <xdr:nvSpPr>
        <xdr:cNvPr id="79" name="Tekstiruutu 78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/>
      </xdr:nvSpPr>
      <xdr:spPr>
        <a:xfrm>
          <a:off x="7245350" y="6762750"/>
          <a:ext cx="1263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7</a:t>
          </a:r>
        </a:p>
      </xdr:txBody>
    </xdr:sp>
    <xdr:clientData/>
  </xdr:oneCellAnchor>
  <xdr:oneCellAnchor>
    <xdr:from>
      <xdr:col>11</xdr:col>
      <xdr:colOff>558800</xdr:colOff>
      <xdr:row>44</xdr:row>
      <xdr:rowOff>146050</xdr:rowOff>
    </xdr:from>
    <xdr:ext cx="1244600" cy="264560"/>
    <xdr:sp macro="" textlink="">
      <xdr:nvSpPr>
        <xdr:cNvPr id="80" name="Tekstiruutu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/>
      </xdr:nvSpPr>
      <xdr:spPr>
        <a:xfrm>
          <a:off x="7264400" y="7696200"/>
          <a:ext cx="1244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8</a:t>
          </a:r>
        </a:p>
      </xdr:txBody>
    </xdr:sp>
    <xdr:clientData/>
  </xdr:oneCellAnchor>
  <xdr:oneCellAnchor>
    <xdr:from>
      <xdr:col>11</xdr:col>
      <xdr:colOff>546100</xdr:colOff>
      <xdr:row>49</xdr:row>
      <xdr:rowOff>127000</xdr:rowOff>
    </xdr:from>
    <xdr:ext cx="1263650" cy="264560"/>
    <xdr:sp macro="" textlink="">
      <xdr:nvSpPr>
        <xdr:cNvPr id="81" name="Tekstiruutu 80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/>
      </xdr:nvSpPr>
      <xdr:spPr>
        <a:xfrm>
          <a:off x="7251700" y="8597900"/>
          <a:ext cx="1263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9</a:t>
          </a:r>
        </a:p>
      </xdr:txBody>
    </xdr:sp>
    <xdr:clientData/>
  </xdr:oneCellAnchor>
  <xdr:oneCellAnchor>
    <xdr:from>
      <xdr:col>11</xdr:col>
      <xdr:colOff>552450</xdr:colOff>
      <xdr:row>54</xdr:row>
      <xdr:rowOff>152400</xdr:rowOff>
    </xdr:from>
    <xdr:ext cx="1231900" cy="264560"/>
    <xdr:sp macro="" textlink="">
      <xdr:nvSpPr>
        <xdr:cNvPr id="82" name="Tekstiruutu 8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/>
      </xdr:nvSpPr>
      <xdr:spPr>
        <a:xfrm>
          <a:off x="7258050" y="9544050"/>
          <a:ext cx="1231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10</a:t>
          </a:r>
        </a:p>
      </xdr:txBody>
    </xdr:sp>
    <xdr:clientData/>
  </xdr:oneCellAnchor>
  <xdr:oneCellAnchor>
    <xdr:from>
      <xdr:col>11</xdr:col>
      <xdr:colOff>565150</xdr:colOff>
      <xdr:row>41</xdr:row>
      <xdr:rowOff>139700</xdr:rowOff>
    </xdr:from>
    <xdr:ext cx="1193800" cy="436786"/>
    <xdr:sp macro="" textlink="">
      <xdr:nvSpPr>
        <xdr:cNvPr id="83" name="Tekstiruutu 8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/>
      </xdr:nvSpPr>
      <xdr:spPr>
        <a:xfrm>
          <a:off x="7270750" y="7137400"/>
          <a:ext cx="119380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7</a:t>
          </a:r>
        </a:p>
        <a:p>
          <a:r>
            <a:rPr lang="fi-FI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paksuus [mm]</a:t>
          </a:r>
          <a:endParaRPr lang="fi-FI" sz="1100"/>
        </a:p>
      </xdr:txBody>
    </xdr:sp>
    <xdr:clientData/>
  </xdr:oneCellAnchor>
  <xdr:oneCellAnchor>
    <xdr:from>
      <xdr:col>11</xdr:col>
      <xdr:colOff>552450</xdr:colOff>
      <xdr:row>46</xdr:row>
      <xdr:rowOff>152400</xdr:rowOff>
    </xdr:from>
    <xdr:ext cx="1193800" cy="436786"/>
    <xdr:sp macro="" textlink="">
      <xdr:nvSpPr>
        <xdr:cNvPr id="84" name="Tekstiruutu 83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/>
      </xdr:nvSpPr>
      <xdr:spPr>
        <a:xfrm>
          <a:off x="7258050" y="8070850"/>
          <a:ext cx="119380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8</a:t>
          </a:r>
        </a:p>
        <a:p>
          <a:r>
            <a:rPr lang="fi-FI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paksuus [mm]</a:t>
          </a:r>
          <a:endParaRPr lang="fi-FI" sz="1100"/>
        </a:p>
      </xdr:txBody>
    </xdr:sp>
    <xdr:clientData/>
  </xdr:oneCellAnchor>
  <xdr:oneCellAnchor>
    <xdr:from>
      <xdr:col>11</xdr:col>
      <xdr:colOff>558800</xdr:colOff>
      <xdr:row>51</xdr:row>
      <xdr:rowOff>158750</xdr:rowOff>
    </xdr:from>
    <xdr:ext cx="1193800" cy="436786"/>
    <xdr:sp macro="" textlink="">
      <xdr:nvSpPr>
        <xdr:cNvPr id="85" name="Tekstiruutu 84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/>
      </xdr:nvSpPr>
      <xdr:spPr>
        <a:xfrm>
          <a:off x="7264400" y="8997950"/>
          <a:ext cx="119380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9</a:t>
          </a:r>
        </a:p>
        <a:p>
          <a:r>
            <a:rPr lang="fi-FI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paksuus [mm]</a:t>
          </a:r>
          <a:endParaRPr lang="fi-FI" sz="1100"/>
        </a:p>
      </xdr:txBody>
    </xdr:sp>
    <xdr:clientData/>
  </xdr:oneCellAnchor>
  <xdr:oneCellAnchor>
    <xdr:from>
      <xdr:col>11</xdr:col>
      <xdr:colOff>552450</xdr:colOff>
      <xdr:row>56</xdr:row>
      <xdr:rowOff>146050</xdr:rowOff>
    </xdr:from>
    <xdr:ext cx="1244600" cy="436786"/>
    <xdr:sp macro="" textlink="">
      <xdr:nvSpPr>
        <xdr:cNvPr id="86" name="Tekstiruutu 8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/>
      </xdr:nvSpPr>
      <xdr:spPr>
        <a:xfrm>
          <a:off x="7258050" y="9906000"/>
          <a:ext cx="124460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Rakennekerros 10</a:t>
          </a:r>
        </a:p>
        <a:p>
          <a:r>
            <a:rPr lang="fi-FI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paksuus [mm]</a:t>
          </a:r>
          <a:endParaRPr lang="fi-FI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4</xdr:row>
          <xdr:rowOff>158750</xdr:rowOff>
        </xdr:from>
        <xdr:to>
          <xdr:col>7</xdr:col>
          <xdr:colOff>514350</xdr:colOff>
          <xdr:row>6</xdr:row>
          <xdr:rowOff>88900</xdr:rowOff>
        </xdr:to>
        <xdr:sp macro="" textlink="">
          <xdr:nvSpPr>
            <xdr:cNvPr id="2082" name="Drop Down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603250</xdr:colOff>
          <xdr:row>4</xdr:row>
          <xdr:rowOff>95250</xdr:rowOff>
        </xdr:from>
        <xdr:to>
          <xdr:col>18</xdr:col>
          <xdr:colOff>514350</xdr:colOff>
          <xdr:row>6</xdr:row>
          <xdr:rowOff>25400</xdr:rowOff>
        </xdr:to>
        <xdr:sp macro="" textlink="">
          <xdr:nvSpPr>
            <xdr:cNvPr id="2083" name="Drop Down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166687</xdr:colOff>
      <xdr:row>60</xdr:row>
      <xdr:rowOff>127000</xdr:rowOff>
    </xdr:from>
    <xdr:to>
      <xdr:col>9</xdr:col>
      <xdr:colOff>518583</xdr:colOff>
      <xdr:row>91</xdr:row>
      <xdr:rowOff>137584</xdr:rowOff>
    </xdr:to>
    <xdr:graphicFrame macro="">
      <xdr:nvGraphicFramePr>
        <xdr:cNvPr id="64" name="Kaavio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385486</xdr:colOff>
      <xdr:row>77</xdr:row>
      <xdr:rowOff>145041</xdr:rowOff>
    </xdr:from>
    <xdr:to>
      <xdr:col>28</xdr:col>
      <xdr:colOff>493889</xdr:colOff>
      <xdr:row>92</xdr:row>
      <xdr:rowOff>119943</xdr:rowOff>
    </xdr:to>
    <xdr:graphicFrame macro="">
      <xdr:nvGraphicFramePr>
        <xdr:cNvPr id="71" name="Kaavio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215901</xdr:colOff>
      <xdr:row>60</xdr:row>
      <xdr:rowOff>132896</xdr:rowOff>
    </xdr:from>
    <xdr:to>
      <xdr:col>19</xdr:col>
      <xdr:colOff>425904</xdr:colOff>
      <xdr:row>78</xdr:row>
      <xdr:rowOff>51933</xdr:rowOff>
    </xdr:to>
    <xdr:graphicFrame macro="">
      <xdr:nvGraphicFramePr>
        <xdr:cNvPr id="72" name="Kaavio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417487</xdr:colOff>
      <xdr:row>60</xdr:row>
      <xdr:rowOff>131334</xdr:rowOff>
    </xdr:from>
    <xdr:to>
      <xdr:col>28</xdr:col>
      <xdr:colOff>471008</xdr:colOff>
      <xdr:row>78</xdr:row>
      <xdr:rowOff>3375</xdr:rowOff>
    </xdr:to>
    <xdr:graphicFrame macro="">
      <xdr:nvGraphicFramePr>
        <xdr:cNvPr id="73" name="Kaavio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217927</xdr:colOff>
      <xdr:row>78</xdr:row>
      <xdr:rowOff>47124</xdr:rowOff>
    </xdr:from>
    <xdr:to>
      <xdr:col>19</xdr:col>
      <xdr:colOff>453452</xdr:colOff>
      <xdr:row>92</xdr:row>
      <xdr:rowOff>121465</xdr:rowOff>
    </xdr:to>
    <xdr:graphicFrame macro="">
      <xdr:nvGraphicFramePr>
        <xdr:cNvPr id="74" name="Kaavio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500944</xdr:colOff>
      <xdr:row>0</xdr:row>
      <xdr:rowOff>112889</xdr:rowOff>
    </xdr:from>
    <xdr:to>
      <xdr:col>23</xdr:col>
      <xdr:colOff>296333</xdr:colOff>
      <xdr:row>2</xdr:row>
      <xdr:rowOff>105833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00944" y="112889"/>
          <a:ext cx="13751278" cy="35983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1. Kirjoita rakenteen pinta-ala vaalean siniselle pohjalle. 2. Valitse rakenne. 3. Valitse vetolaatikoista sopiva rakennekerros. 4. Täytä vaaleansiniselle pohjalle rakenteen paksuus.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1523443</xdr:colOff>
      <xdr:row>29</xdr:row>
      <xdr:rowOff>22225</xdr:rowOff>
    </xdr:from>
    <xdr:to>
      <xdr:col>19</xdr:col>
      <xdr:colOff>9525</xdr:colOff>
      <xdr:row>44</xdr:row>
      <xdr:rowOff>3175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55A83-2115-4F26-9875-38C55D7E5BD8}">
  <sheetPr codeName="Taul1"/>
  <dimension ref="A1"/>
  <sheetViews>
    <sheetView tabSelected="1" zoomScale="90" zoomScaleNormal="90" workbookViewId="0">
      <selection activeCell="P34" sqref="P34"/>
    </sheetView>
  </sheetViews>
  <sheetFormatPr defaultRowHeight="14.5"/>
  <sheetData/>
  <sheetProtection algorithmName="SHA-512" hashValue="G2HYATxZNTyiD83C8z+FnskzGUak8jmVrElYD9cxFi0osIrEFFdkjjrCo/rzTn1qMR8ccRAO0WUaNb9ei4dGBQ==" saltValue="4hSPCs52iQM9E8hPoh6wRg==" spinCount="100000" sheet="1" objects="1" scenarios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4"/>
  <dimension ref="B1:B42"/>
  <sheetViews>
    <sheetView workbookViewId="0">
      <selection activeCell="O13" sqref="O13"/>
    </sheetView>
  </sheetViews>
  <sheetFormatPr defaultRowHeight="14.5"/>
  <sheetData>
    <row r="1" spans="2:2">
      <c r="B1" s="80" t="s">
        <v>387</v>
      </c>
    </row>
    <row r="3" spans="2:2">
      <c r="B3" t="s">
        <v>388</v>
      </c>
    </row>
    <row r="4" spans="2:2">
      <c r="B4" t="s">
        <v>386</v>
      </c>
    </row>
    <row r="5" spans="2:2">
      <c r="B5" t="s">
        <v>389</v>
      </c>
    </row>
    <row r="6" spans="2:2">
      <c r="B6" t="s">
        <v>390</v>
      </c>
    </row>
    <row r="8" spans="2:2">
      <c r="B8" s="36" t="s">
        <v>350</v>
      </c>
    </row>
    <row r="9" spans="2:2">
      <c r="B9" t="s">
        <v>317</v>
      </c>
    </row>
    <row r="10" spans="2:2">
      <c r="B10" t="s">
        <v>318</v>
      </c>
    </row>
    <row r="11" spans="2:2">
      <c r="B11" t="s">
        <v>320</v>
      </c>
    </row>
    <row r="12" spans="2:2">
      <c r="B12" t="s">
        <v>319</v>
      </c>
    </row>
    <row r="13" spans="2:2">
      <c r="B13" t="s">
        <v>321</v>
      </c>
    </row>
    <row r="14" spans="2:2">
      <c r="B14" t="s">
        <v>322</v>
      </c>
    </row>
    <row r="15" spans="2:2">
      <c r="B15" t="s">
        <v>323</v>
      </c>
    </row>
    <row r="16" spans="2:2">
      <c r="B16" t="s">
        <v>324</v>
      </c>
    </row>
    <row r="17" spans="2:2">
      <c r="B17" t="s">
        <v>325</v>
      </c>
    </row>
    <row r="18" spans="2:2">
      <c r="B18" t="s">
        <v>326</v>
      </c>
    </row>
    <row r="19" spans="2:2">
      <c r="B19" t="s">
        <v>327</v>
      </c>
    </row>
    <row r="20" spans="2:2">
      <c r="B20" t="s">
        <v>328</v>
      </c>
    </row>
    <row r="21" spans="2:2">
      <c r="B21" s="21" t="s">
        <v>297</v>
      </c>
    </row>
    <row r="22" spans="2:2">
      <c r="B22" s="21" t="s">
        <v>329</v>
      </c>
    </row>
    <row r="23" spans="2:2">
      <c r="B23" s="21" t="s">
        <v>330</v>
      </c>
    </row>
    <row r="24" spans="2:2">
      <c r="B24" t="s">
        <v>331</v>
      </c>
    </row>
    <row r="25" spans="2:2">
      <c r="B25" t="s">
        <v>332</v>
      </c>
    </row>
    <row r="26" spans="2:2">
      <c r="B26" t="s">
        <v>333</v>
      </c>
    </row>
    <row r="27" spans="2:2">
      <c r="B27" t="s">
        <v>334</v>
      </c>
    </row>
    <row r="28" spans="2:2">
      <c r="B28" t="s">
        <v>336</v>
      </c>
    </row>
    <row r="29" spans="2:2">
      <c r="B29" t="s">
        <v>335</v>
      </c>
    </row>
    <row r="30" spans="2:2">
      <c r="B30" t="s">
        <v>337</v>
      </c>
    </row>
    <row r="31" spans="2:2">
      <c r="B31" t="s">
        <v>338</v>
      </c>
    </row>
    <row r="32" spans="2:2">
      <c r="B32" t="s">
        <v>339</v>
      </c>
    </row>
    <row r="33" spans="2:2">
      <c r="B33" t="s">
        <v>340</v>
      </c>
    </row>
    <row r="34" spans="2:2">
      <c r="B34" t="s">
        <v>341</v>
      </c>
    </row>
    <row r="35" spans="2:2">
      <c r="B35" t="s">
        <v>342</v>
      </c>
    </row>
    <row r="36" spans="2:2">
      <c r="B36" t="s">
        <v>343</v>
      </c>
    </row>
    <row r="37" spans="2:2">
      <c r="B37" t="s">
        <v>344</v>
      </c>
    </row>
    <row r="38" spans="2:2">
      <c r="B38" t="s">
        <v>345</v>
      </c>
    </row>
    <row r="39" spans="2:2">
      <c r="B39" t="s">
        <v>346</v>
      </c>
    </row>
    <row r="40" spans="2:2">
      <c r="B40" t="s">
        <v>347</v>
      </c>
    </row>
    <row r="41" spans="2:2">
      <c r="B41" t="s">
        <v>348</v>
      </c>
    </row>
    <row r="42" spans="2:2">
      <c r="B42" t="s">
        <v>349</v>
      </c>
    </row>
  </sheetData>
  <sheetProtection algorithmName="SHA-512" hashValue="PgIs5mdgN3xICYVo03/usOdVpcOBFmLvi0UNr2etDFBlphJWerk7SD4cXOXbMPT6nrYKyQVie3rf1+NnnbqV5A==" saltValue="jLrAHbwxhyiWVGKgtedcYQ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9687B-8E7F-435B-ACB0-7D7444B16E2F}">
  <sheetPr codeName="Taul11"/>
  <dimension ref="C3:AH58"/>
  <sheetViews>
    <sheetView showGridLines="0" zoomScale="90" zoomScaleNormal="90" workbookViewId="0">
      <selection activeCell="V58" sqref="V58"/>
    </sheetView>
  </sheetViews>
  <sheetFormatPr defaultRowHeight="14.5"/>
  <cols>
    <col min="27" max="27" width="11.26953125" bestFit="1" customWidth="1"/>
    <col min="32" max="32" width="11.36328125" bestFit="1" customWidth="1"/>
  </cols>
  <sheetData>
    <row r="3" spans="3:34" ht="15" thickBot="1"/>
    <row r="4" spans="3:34" ht="15" thickBot="1">
      <c r="C4" s="7" t="s">
        <v>238</v>
      </c>
      <c r="D4" s="28"/>
      <c r="E4" s="29">
        <v>0</v>
      </c>
      <c r="F4" s="8" t="s">
        <v>141</v>
      </c>
      <c r="M4" s="7" t="s">
        <v>238</v>
      </c>
      <c r="N4" s="28"/>
      <c r="O4" s="28"/>
      <c r="P4" s="29">
        <v>0</v>
      </c>
      <c r="Q4" s="8" t="s">
        <v>141</v>
      </c>
    </row>
    <row r="5" spans="3:34">
      <c r="Y5" s="9"/>
      <c r="Z5" s="13"/>
      <c r="AA5" s="13"/>
      <c r="AB5" s="13"/>
      <c r="AC5" s="13"/>
      <c r="AD5" s="13" t="s">
        <v>246</v>
      </c>
      <c r="AE5" s="13" t="s">
        <v>246</v>
      </c>
      <c r="AF5" s="13" t="s">
        <v>247</v>
      </c>
      <c r="AG5" s="13" t="s">
        <v>247</v>
      </c>
      <c r="AH5" s="10"/>
    </row>
    <row r="6" spans="3:34">
      <c r="C6" t="s">
        <v>192</v>
      </c>
      <c r="E6" s="5"/>
      <c r="M6" t="s">
        <v>193</v>
      </c>
      <c r="P6" s="5"/>
      <c r="Y6" s="11" t="s">
        <v>192</v>
      </c>
      <c r="Z6" s="14"/>
      <c r="AA6" s="14"/>
      <c r="AB6" s="14" t="s">
        <v>191</v>
      </c>
      <c r="AC6" s="14" t="s">
        <v>13</v>
      </c>
      <c r="AD6" s="14" t="s">
        <v>5</v>
      </c>
      <c r="AE6" s="14" t="s">
        <v>6</v>
      </c>
      <c r="AF6" s="14" t="s">
        <v>5</v>
      </c>
      <c r="AG6" s="14" t="s">
        <v>6</v>
      </c>
      <c r="AH6" s="32" t="s">
        <v>248</v>
      </c>
    </row>
    <row r="7" spans="3:34" ht="16.5">
      <c r="Y7" s="11"/>
      <c r="Z7" s="14"/>
      <c r="AA7" s="14"/>
      <c r="AB7" s="14" t="s">
        <v>1</v>
      </c>
      <c r="AC7" s="14" t="s">
        <v>316</v>
      </c>
      <c r="AD7" s="14" t="s">
        <v>312</v>
      </c>
      <c r="AE7" s="22" t="s">
        <v>313</v>
      </c>
      <c r="AF7" s="14" t="s">
        <v>314</v>
      </c>
      <c r="AG7" s="22" t="s">
        <v>315</v>
      </c>
      <c r="AH7" s="12"/>
    </row>
    <row r="8" spans="3:34">
      <c r="Y8" s="11" t="s">
        <v>172</v>
      </c>
      <c r="Z8" s="14"/>
      <c r="AA8" s="14" t="str">
        <f>VLOOKUP(Materiaalilaskut!D119,Materiaalilaskut!$A$5:$C$107,3)</f>
        <v>Materiaali/Tyhjä</v>
      </c>
      <c r="AB8" s="14">
        <f>E11</f>
        <v>0</v>
      </c>
      <c r="AC8" s="14">
        <f>Materiaalilaskut!F119</f>
        <v>100</v>
      </c>
      <c r="AD8" s="14">
        <f>Materiaalilaskut!G119</f>
        <v>0</v>
      </c>
      <c r="AE8" s="14">
        <f>Materiaalilaskut!H119</f>
        <v>0</v>
      </c>
      <c r="AF8" s="23">
        <f>Materiaalilaskut!W119</f>
        <v>0</v>
      </c>
      <c r="AG8" s="23">
        <f>Materiaalilaskut!X119</f>
        <v>0</v>
      </c>
      <c r="AH8" s="30">
        <f>'Kaavat 1'!M15</f>
        <v>0</v>
      </c>
    </row>
    <row r="9" spans="3:34">
      <c r="Y9" s="11" t="s">
        <v>173</v>
      </c>
      <c r="Z9" s="14"/>
      <c r="AA9" s="14" t="str">
        <f>VLOOKUP(Materiaalilaskut!D120,Materiaalilaskut!$A$5:$C$107,3)</f>
        <v>Materiaali/Tyhjä</v>
      </c>
      <c r="AB9" s="14">
        <f>E16</f>
        <v>0</v>
      </c>
      <c r="AC9" s="23">
        <f>Materiaalilaskut!F120</f>
        <v>100</v>
      </c>
      <c r="AD9" s="23">
        <f>Materiaalilaskut!G120</f>
        <v>0</v>
      </c>
      <c r="AE9" s="23">
        <f>Materiaalilaskut!H120</f>
        <v>0</v>
      </c>
      <c r="AF9" s="23">
        <f>Materiaalilaskut!W120</f>
        <v>0</v>
      </c>
      <c r="AG9" s="23">
        <f>Materiaalilaskut!X120</f>
        <v>0</v>
      </c>
      <c r="AH9" s="30">
        <f>'Kaavat 1'!M16</f>
        <v>0</v>
      </c>
    </row>
    <row r="10" spans="3:34">
      <c r="Y10" s="11" t="s">
        <v>174</v>
      </c>
      <c r="Z10" s="14"/>
      <c r="AA10" s="14" t="str">
        <f>VLOOKUP(Materiaalilaskut!D121,Materiaalilaskut!$A$5:$C$107,3)</f>
        <v>Materiaali/Tyhjä</v>
      </c>
      <c r="AB10" s="14">
        <f>E21</f>
        <v>0</v>
      </c>
      <c r="AC10" s="23">
        <f>Materiaalilaskut!F121</f>
        <v>100</v>
      </c>
      <c r="AD10" s="23">
        <f>Materiaalilaskut!G121</f>
        <v>0</v>
      </c>
      <c r="AE10" s="23">
        <f>Materiaalilaskut!H121</f>
        <v>0</v>
      </c>
      <c r="AF10" s="23">
        <f>Materiaalilaskut!W121</f>
        <v>0</v>
      </c>
      <c r="AG10" s="23">
        <f>Materiaalilaskut!X121</f>
        <v>0</v>
      </c>
      <c r="AH10" s="30">
        <f>'Kaavat 1'!M17</f>
        <v>0</v>
      </c>
    </row>
    <row r="11" spans="3:34">
      <c r="E11" s="4">
        <v>0</v>
      </c>
      <c r="F11" t="s">
        <v>1</v>
      </c>
      <c r="P11" s="4">
        <v>0</v>
      </c>
      <c r="Q11" t="s">
        <v>1</v>
      </c>
      <c r="Y11" s="11" t="s">
        <v>175</v>
      </c>
      <c r="Z11" s="14"/>
      <c r="AA11" s="14" t="str">
        <f>VLOOKUP(Materiaalilaskut!D122,Materiaalilaskut!$A$5:$C$107,3)</f>
        <v>Materiaali/Tyhjä</v>
      </c>
      <c r="AB11" s="14">
        <f>E27</f>
        <v>0</v>
      </c>
      <c r="AC11" s="23">
        <f>Materiaalilaskut!F122</f>
        <v>100</v>
      </c>
      <c r="AD11" s="23">
        <f>Materiaalilaskut!G122</f>
        <v>0</v>
      </c>
      <c r="AE11" s="23">
        <f>Materiaalilaskut!H122</f>
        <v>0</v>
      </c>
      <c r="AF11" s="23">
        <f>Materiaalilaskut!W122</f>
        <v>0</v>
      </c>
      <c r="AG11" s="23">
        <f>Materiaalilaskut!X122</f>
        <v>0</v>
      </c>
      <c r="AH11" s="30">
        <f>'Kaavat 1'!M18</f>
        <v>0</v>
      </c>
    </row>
    <row r="12" spans="3:34">
      <c r="Y12" s="11" t="s">
        <v>176</v>
      </c>
      <c r="Z12" s="14"/>
      <c r="AA12" s="14" t="str">
        <f>VLOOKUP(Materiaalilaskut!D123,Materiaalilaskut!$A$5:$C$107,3)</f>
        <v>Materiaali/Tyhjä</v>
      </c>
      <c r="AB12" s="14">
        <f>E32</f>
        <v>0</v>
      </c>
      <c r="AC12" s="23">
        <f>Materiaalilaskut!F123</f>
        <v>100</v>
      </c>
      <c r="AD12" s="23">
        <f>Materiaalilaskut!G123</f>
        <v>0</v>
      </c>
      <c r="AE12" s="23">
        <f>Materiaalilaskut!H123</f>
        <v>0</v>
      </c>
      <c r="AF12" s="23">
        <f>Materiaalilaskut!W123</f>
        <v>0</v>
      </c>
      <c r="AG12" s="23">
        <f>Materiaalilaskut!X123</f>
        <v>0</v>
      </c>
      <c r="AH12" s="30">
        <f>'Kaavat 1'!M19</f>
        <v>0</v>
      </c>
    </row>
    <row r="13" spans="3:34">
      <c r="Y13" s="11" t="s">
        <v>177</v>
      </c>
      <c r="Z13" s="14"/>
      <c r="AA13" s="14" t="str">
        <f>VLOOKUP(Materiaalilaskut!D124,Materiaalilaskut!$A$5:$C$107,3)</f>
        <v>Materiaali/Tyhjä</v>
      </c>
      <c r="AB13" s="14">
        <f>E38</f>
        <v>0</v>
      </c>
      <c r="AC13" s="23">
        <f>Materiaalilaskut!F124</f>
        <v>100</v>
      </c>
      <c r="AD13" s="23">
        <f>Materiaalilaskut!G124</f>
        <v>0</v>
      </c>
      <c r="AE13" s="23">
        <f>Materiaalilaskut!H124</f>
        <v>0</v>
      </c>
      <c r="AF13" s="23">
        <f>Materiaalilaskut!W124</f>
        <v>0</v>
      </c>
      <c r="AG13" s="23">
        <f>Materiaalilaskut!X124</f>
        <v>0</v>
      </c>
      <c r="AH13" s="30">
        <f>'Kaavat 1'!M20</f>
        <v>0</v>
      </c>
    </row>
    <row r="14" spans="3:34">
      <c r="Y14" s="11" t="s">
        <v>178</v>
      </c>
      <c r="Z14" s="14"/>
      <c r="AA14" s="14" t="str">
        <f>VLOOKUP(Materiaalilaskut!D125,Materiaalilaskut!$A$5:$C$107,3)</f>
        <v>Materiaali/Tyhjä</v>
      </c>
      <c r="AB14" s="14">
        <f>E43</f>
        <v>0</v>
      </c>
      <c r="AC14" s="23">
        <f>Materiaalilaskut!F125</f>
        <v>100</v>
      </c>
      <c r="AD14" s="23">
        <f>Materiaalilaskut!G125</f>
        <v>0</v>
      </c>
      <c r="AE14" s="23">
        <f>Materiaalilaskut!H125</f>
        <v>0</v>
      </c>
      <c r="AF14" s="23">
        <f>Materiaalilaskut!W125</f>
        <v>0</v>
      </c>
      <c r="AG14" s="23">
        <f>Materiaalilaskut!X125</f>
        <v>0</v>
      </c>
      <c r="AH14" s="30">
        <f>'Kaavat 1'!M21</f>
        <v>0</v>
      </c>
    </row>
    <row r="15" spans="3:34">
      <c r="Y15" s="11" t="s">
        <v>179</v>
      </c>
      <c r="Z15" s="14"/>
      <c r="AA15" s="14" t="str">
        <f>VLOOKUP(Materiaalilaskut!D126,Materiaalilaskut!$A$5:$C$107,3)</f>
        <v>Materiaali/Tyhjä</v>
      </c>
      <c r="AB15" s="14">
        <f>E48</f>
        <v>0</v>
      </c>
      <c r="AC15" s="23">
        <f>Materiaalilaskut!F126</f>
        <v>100</v>
      </c>
      <c r="AD15" s="23">
        <f>Materiaalilaskut!G126</f>
        <v>0</v>
      </c>
      <c r="AE15" s="23">
        <f>Materiaalilaskut!H126</f>
        <v>0</v>
      </c>
      <c r="AF15" s="23">
        <f>Materiaalilaskut!W126</f>
        <v>0</v>
      </c>
      <c r="AG15" s="23">
        <f>Materiaalilaskut!X126</f>
        <v>0</v>
      </c>
      <c r="AH15" s="30">
        <f>'Kaavat 1'!M22</f>
        <v>0</v>
      </c>
    </row>
    <row r="16" spans="3:34">
      <c r="E16" s="4">
        <v>0</v>
      </c>
      <c r="F16" t="s">
        <v>1</v>
      </c>
      <c r="P16" s="4">
        <v>0</v>
      </c>
      <c r="Q16" t="s">
        <v>1</v>
      </c>
      <c r="Y16" s="11" t="s">
        <v>180</v>
      </c>
      <c r="Z16" s="14"/>
      <c r="AA16" s="14" t="str">
        <f>VLOOKUP(Materiaalilaskut!D127,Materiaalilaskut!$A$5:$C$107,3)</f>
        <v>Materiaali/Tyhjä</v>
      </c>
      <c r="AB16" s="14">
        <f>E53</f>
        <v>0</v>
      </c>
      <c r="AC16" s="23">
        <f>Materiaalilaskut!F127</f>
        <v>100</v>
      </c>
      <c r="AD16" s="23">
        <f>Materiaalilaskut!G127</f>
        <v>0</v>
      </c>
      <c r="AE16" s="23">
        <f>Materiaalilaskut!H127</f>
        <v>0</v>
      </c>
      <c r="AF16" s="23">
        <f>Materiaalilaskut!W127</f>
        <v>0</v>
      </c>
      <c r="AG16" s="23">
        <f>Materiaalilaskut!X127</f>
        <v>0</v>
      </c>
      <c r="AH16" s="30">
        <f>'Kaavat 1'!M23</f>
        <v>0</v>
      </c>
    </row>
    <row r="17" spans="5:34">
      <c r="Y17" s="11" t="s">
        <v>181</v>
      </c>
      <c r="Z17" s="14"/>
      <c r="AA17" s="14" t="str">
        <f>VLOOKUP(Materiaalilaskut!D128,Materiaalilaskut!$A$5:$C$107,3)</f>
        <v>Materiaali/Tyhjä</v>
      </c>
      <c r="AB17" s="14">
        <f>E58</f>
        <v>0</v>
      </c>
      <c r="AC17" s="14">
        <f>Materiaalilaskut!F128</f>
        <v>100</v>
      </c>
      <c r="AD17" s="14">
        <f>Materiaalilaskut!G128</f>
        <v>0</v>
      </c>
      <c r="AE17" s="14">
        <f>Materiaalilaskut!H128</f>
        <v>0</v>
      </c>
      <c r="AF17" s="23">
        <f>Materiaalilaskut!W128</f>
        <v>0</v>
      </c>
      <c r="AG17" s="23">
        <f>Materiaalilaskut!X128</f>
        <v>0</v>
      </c>
      <c r="AH17" s="30">
        <f>'Kaavat 1'!M24</f>
        <v>0</v>
      </c>
    </row>
    <row r="18" spans="5:34">
      <c r="Y18" s="24" t="s">
        <v>212</v>
      </c>
      <c r="Z18" s="18"/>
      <c r="AA18" s="18"/>
      <c r="AB18" s="18"/>
      <c r="AC18" s="18"/>
      <c r="AD18" s="18"/>
      <c r="AE18" s="18"/>
      <c r="AF18" s="37">
        <f>Materiaalilaskut!W129</f>
        <v>0</v>
      </c>
      <c r="AG18" s="19">
        <f>Materiaalilaskut!X129</f>
        <v>0</v>
      </c>
      <c r="AH18" s="31">
        <f>'Kaavat 1'!M25</f>
        <v>0</v>
      </c>
    </row>
    <row r="19" spans="5:34">
      <c r="Y19" s="25" t="s">
        <v>231</v>
      </c>
      <c r="Z19" s="14"/>
      <c r="AA19" s="14"/>
      <c r="AB19" s="14"/>
      <c r="AC19" s="14"/>
      <c r="AD19" s="14"/>
      <c r="AE19" s="14"/>
      <c r="AF19" s="14"/>
      <c r="AG19" s="14"/>
      <c r="AH19" s="30">
        <f>'Kaavat 1'!M26</f>
        <v>0.17</v>
      </c>
    </row>
    <row r="20" spans="5:34">
      <c r="Y20" s="35" t="s">
        <v>213</v>
      </c>
      <c r="Z20" s="14"/>
      <c r="AA20" s="14"/>
      <c r="AB20" s="14"/>
      <c r="AC20" s="14"/>
      <c r="AD20" s="14"/>
      <c r="AE20" s="14"/>
      <c r="AF20" s="14"/>
      <c r="AG20" s="14"/>
      <c r="AH20" s="34">
        <f>'Kaavat 1'!M27</f>
        <v>5.8823529411764701</v>
      </c>
    </row>
    <row r="21" spans="5:34">
      <c r="E21" s="4">
        <v>0</v>
      </c>
      <c r="F21" t="s">
        <v>1</v>
      </c>
      <c r="P21" s="4">
        <v>0</v>
      </c>
      <c r="Q21" t="s">
        <v>1</v>
      </c>
      <c r="Y21" s="11"/>
      <c r="Z21" s="14"/>
      <c r="AA21" s="14"/>
      <c r="AB21" s="14"/>
      <c r="AC21" s="14"/>
      <c r="AD21" s="14"/>
      <c r="AE21" s="14"/>
      <c r="AF21" s="14"/>
      <c r="AG21" s="14"/>
      <c r="AH21" s="12"/>
    </row>
    <row r="22" spans="5:34">
      <c r="Y22" s="11" t="s">
        <v>239</v>
      </c>
      <c r="Z22" s="14"/>
      <c r="AA22" s="14"/>
      <c r="AB22" s="14"/>
      <c r="AC22" s="14"/>
      <c r="AD22" s="14"/>
      <c r="AE22" s="14"/>
      <c r="AF22" s="38">
        <f>E4</f>
        <v>0</v>
      </c>
      <c r="AG22" s="14" t="s">
        <v>141</v>
      </c>
      <c r="AH22" s="12"/>
    </row>
    <row r="23" spans="5:34">
      <c r="Y23" s="11" t="s">
        <v>240</v>
      </c>
      <c r="Z23" s="14"/>
      <c r="AA23" s="14"/>
      <c r="AB23" s="14"/>
      <c r="AC23" s="14"/>
      <c r="AD23" s="14"/>
      <c r="AE23" s="14"/>
      <c r="AF23" s="26">
        <f>Materiaalilaskut!V129*AF22</f>
        <v>0</v>
      </c>
      <c r="AG23" s="14" t="s">
        <v>77</v>
      </c>
      <c r="AH23" s="12"/>
    </row>
    <row r="24" spans="5:34">
      <c r="Y24" s="11" t="s">
        <v>240</v>
      </c>
      <c r="Z24" s="14"/>
      <c r="AA24" s="14"/>
      <c r="AB24" s="14"/>
      <c r="AC24" s="14"/>
      <c r="AD24" s="14"/>
      <c r="AE24" s="14"/>
      <c r="AF24" s="26">
        <f>AF23/1000</f>
        <v>0</v>
      </c>
      <c r="AG24" s="14" t="s">
        <v>243</v>
      </c>
      <c r="AH24" s="12"/>
    </row>
    <row r="25" spans="5:34">
      <c r="Y25" s="11" t="s">
        <v>241</v>
      </c>
      <c r="Z25" s="14"/>
      <c r="AA25" s="14"/>
      <c r="AB25" s="14"/>
      <c r="AC25" s="14"/>
      <c r="AD25" s="14"/>
      <c r="AE25" s="14"/>
      <c r="AF25" s="26">
        <f>(AF22*AF18)</f>
        <v>0</v>
      </c>
      <c r="AG25" s="14" t="s">
        <v>244</v>
      </c>
      <c r="AH25" s="12"/>
    </row>
    <row r="26" spans="5:34">
      <c r="Y26" s="11" t="s">
        <v>241</v>
      </c>
      <c r="Z26" s="14"/>
      <c r="AA26" s="14"/>
      <c r="AB26" s="14"/>
      <c r="AC26" s="14"/>
      <c r="AD26" s="14"/>
      <c r="AE26" s="14"/>
      <c r="AF26" s="26">
        <f>AF25/1000</f>
        <v>0</v>
      </c>
      <c r="AG26" s="14" t="s">
        <v>249</v>
      </c>
      <c r="AH26" s="12"/>
    </row>
    <row r="27" spans="5:34">
      <c r="E27" s="4">
        <v>0</v>
      </c>
      <c r="F27" t="s">
        <v>1</v>
      </c>
      <c r="P27" s="4">
        <v>0</v>
      </c>
      <c r="Q27" t="s">
        <v>1</v>
      </c>
      <c r="Y27" s="11" t="s">
        <v>242</v>
      </c>
      <c r="Z27" s="14"/>
      <c r="AA27" s="14"/>
      <c r="AB27" s="14"/>
      <c r="AC27" s="14"/>
      <c r="AD27" s="14"/>
      <c r="AE27" s="14"/>
      <c r="AF27" s="26">
        <f>AF22*AG18</f>
        <v>0</v>
      </c>
      <c r="AG27" s="14" t="s">
        <v>244</v>
      </c>
      <c r="AH27" s="12"/>
    </row>
    <row r="28" spans="5:34">
      <c r="Y28" s="11" t="s">
        <v>242</v>
      </c>
      <c r="Z28" s="14"/>
      <c r="AA28" s="14"/>
      <c r="AB28" s="14"/>
      <c r="AC28" s="14"/>
      <c r="AD28" s="14"/>
      <c r="AE28" s="14"/>
      <c r="AF28" s="26">
        <f>AF27/1000</f>
        <v>0</v>
      </c>
      <c r="AG28" s="14" t="s">
        <v>249</v>
      </c>
      <c r="AH28" s="12"/>
    </row>
    <row r="29" spans="5:34">
      <c r="Y29" s="11" t="s">
        <v>245</v>
      </c>
      <c r="Z29" s="14"/>
      <c r="AA29" s="14"/>
      <c r="AB29" s="14"/>
      <c r="AC29" s="14"/>
      <c r="AD29" s="14"/>
      <c r="AE29" s="14"/>
      <c r="AF29" s="26">
        <f>AF25+AF27</f>
        <v>0</v>
      </c>
      <c r="AG29" s="14" t="s">
        <v>244</v>
      </c>
      <c r="AH29" s="12"/>
    </row>
    <row r="30" spans="5:34" ht="15" thickBot="1">
      <c r="Y30" s="15" t="s">
        <v>245</v>
      </c>
      <c r="Z30" s="16"/>
      <c r="AA30" s="16"/>
      <c r="AB30" s="16"/>
      <c r="AC30" s="16"/>
      <c r="AD30" s="16"/>
      <c r="AE30" s="16"/>
      <c r="AF30" s="27">
        <f>AF29/1000</f>
        <v>0</v>
      </c>
      <c r="AG30" s="16" t="s">
        <v>249</v>
      </c>
      <c r="AH30" s="17"/>
    </row>
    <row r="32" spans="5:34" ht="15" thickBot="1">
      <c r="E32" s="4">
        <v>0</v>
      </c>
      <c r="F32" t="s">
        <v>1</v>
      </c>
      <c r="P32" s="4">
        <v>0</v>
      </c>
      <c r="Q32" t="s">
        <v>1</v>
      </c>
    </row>
    <row r="33" spans="5:34">
      <c r="Y33" s="9" t="s">
        <v>193</v>
      </c>
      <c r="Z33" s="13"/>
      <c r="AA33" s="13"/>
      <c r="AB33" s="13" t="s">
        <v>191</v>
      </c>
      <c r="AC33" s="13" t="s">
        <v>13</v>
      </c>
      <c r="AD33" s="13" t="s">
        <v>5</v>
      </c>
      <c r="AE33" s="13" t="s">
        <v>6</v>
      </c>
      <c r="AF33" s="13" t="s">
        <v>5</v>
      </c>
      <c r="AG33" s="13" t="s">
        <v>6</v>
      </c>
      <c r="AH33" s="33" t="s">
        <v>248</v>
      </c>
    </row>
    <row r="34" spans="5:34">
      <c r="Y34" s="11"/>
      <c r="Z34" s="14"/>
      <c r="AA34" s="14"/>
      <c r="AB34" s="14" t="s">
        <v>1</v>
      </c>
      <c r="AC34" s="14" t="s">
        <v>316</v>
      </c>
      <c r="AD34" s="14" t="s">
        <v>8</v>
      </c>
      <c r="AE34" s="22" t="s">
        <v>9</v>
      </c>
      <c r="AF34" s="14" t="s">
        <v>204</v>
      </c>
      <c r="AG34" s="22" t="s">
        <v>205</v>
      </c>
      <c r="AH34" s="12"/>
    </row>
    <row r="35" spans="5:34">
      <c r="Y35" s="11" t="s">
        <v>172</v>
      </c>
      <c r="Z35" s="14"/>
      <c r="AA35" s="14" t="str">
        <f>VLOOKUP(Materiaalilaskut!D133,Materiaalilaskut!$A$5:$C$107,3)</f>
        <v>Materiaali/Tyhjä</v>
      </c>
      <c r="AB35" s="14">
        <f>P11</f>
        <v>0</v>
      </c>
      <c r="AC35" s="14">
        <f>Materiaalilaskut!F133</f>
        <v>100</v>
      </c>
      <c r="AD35" s="14">
        <f>Materiaalilaskut!G133</f>
        <v>0</v>
      </c>
      <c r="AE35" s="14">
        <f>Materiaalilaskut!H133</f>
        <v>0</v>
      </c>
      <c r="AF35" s="23">
        <f>Materiaalilaskut!W133</f>
        <v>0</v>
      </c>
      <c r="AG35" s="23">
        <f>Materiaalilaskut!X133</f>
        <v>0</v>
      </c>
      <c r="AH35" s="30">
        <f>'Kaavat 1'!R15</f>
        <v>0</v>
      </c>
    </row>
    <row r="36" spans="5:34">
      <c r="Y36" s="11" t="s">
        <v>173</v>
      </c>
      <c r="Z36" s="14"/>
      <c r="AA36" s="14" t="str">
        <f>VLOOKUP(Materiaalilaskut!D134,Materiaalilaskut!$A$5:$C$107,3)</f>
        <v>Materiaali/Tyhjä</v>
      </c>
      <c r="AB36" s="14">
        <f>P16</f>
        <v>0</v>
      </c>
      <c r="AC36" s="14">
        <f>Materiaalilaskut!F134</f>
        <v>100</v>
      </c>
      <c r="AD36" s="14">
        <f>Materiaalilaskut!G134</f>
        <v>0</v>
      </c>
      <c r="AE36" s="14">
        <f>Materiaalilaskut!H134</f>
        <v>0</v>
      </c>
      <c r="AF36" s="23">
        <f>Materiaalilaskut!W134</f>
        <v>0</v>
      </c>
      <c r="AG36" s="23">
        <f>Materiaalilaskut!X134</f>
        <v>0</v>
      </c>
      <c r="AH36" s="30">
        <f>'Kaavat 1'!R16</f>
        <v>0</v>
      </c>
    </row>
    <row r="37" spans="5:34">
      <c r="Y37" s="11" t="s">
        <v>174</v>
      </c>
      <c r="Z37" s="14"/>
      <c r="AA37" s="14" t="str">
        <f>VLOOKUP(Materiaalilaskut!D135,Materiaalilaskut!$A$5:$C$107,3)</f>
        <v>Materiaali/Tyhjä</v>
      </c>
      <c r="AB37" s="14">
        <f>P21</f>
        <v>0</v>
      </c>
      <c r="AC37" s="14">
        <f>Materiaalilaskut!F135</f>
        <v>100</v>
      </c>
      <c r="AD37" s="14">
        <f>Materiaalilaskut!G135</f>
        <v>0</v>
      </c>
      <c r="AE37" s="14">
        <f>Materiaalilaskut!H135</f>
        <v>0</v>
      </c>
      <c r="AF37" s="23">
        <f>Materiaalilaskut!W135</f>
        <v>0</v>
      </c>
      <c r="AG37" s="23">
        <f>Materiaalilaskut!X135</f>
        <v>0</v>
      </c>
      <c r="AH37" s="30">
        <f>'Kaavat 1'!R17</f>
        <v>0</v>
      </c>
    </row>
    <row r="38" spans="5:34">
      <c r="E38" s="4">
        <v>0</v>
      </c>
      <c r="F38" t="s">
        <v>1</v>
      </c>
      <c r="P38" s="4">
        <v>0</v>
      </c>
      <c r="Q38" t="s">
        <v>1</v>
      </c>
      <c r="Y38" s="11" t="s">
        <v>175</v>
      </c>
      <c r="Z38" s="14"/>
      <c r="AA38" s="14" t="str">
        <f>VLOOKUP(Materiaalilaskut!D136,Materiaalilaskut!$A$5:$C$107,3)</f>
        <v>Materiaali/Tyhjä</v>
      </c>
      <c r="AB38" s="14">
        <f>P27</f>
        <v>0</v>
      </c>
      <c r="AC38" s="14">
        <f>Materiaalilaskut!F136</f>
        <v>100</v>
      </c>
      <c r="AD38" s="14">
        <f>Materiaalilaskut!G136</f>
        <v>0</v>
      </c>
      <c r="AE38" s="14">
        <f>Materiaalilaskut!H136</f>
        <v>0</v>
      </c>
      <c r="AF38" s="23">
        <f>Materiaalilaskut!W136</f>
        <v>0</v>
      </c>
      <c r="AG38" s="23">
        <f>Materiaalilaskut!X136</f>
        <v>0</v>
      </c>
      <c r="AH38" s="30">
        <f>'Kaavat 1'!R18</f>
        <v>0</v>
      </c>
    </row>
    <row r="39" spans="5:34">
      <c r="Y39" s="11" t="s">
        <v>176</v>
      </c>
      <c r="Z39" s="14"/>
      <c r="AA39" s="14" t="str">
        <f>VLOOKUP(Materiaalilaskut!D137,Materiaalilaskut!$A$5:$C$107,3)</f>
        <v>Materiaali/Tyhjä</v>
      </c>
      <c r="AB39" s="14">
        <f>P32</f>
        <v>0</v>
      </c>
      <c r="AC39" s="14">
        <f>Materiaalilaskut!F137</f>
        <v>100</v>
      </c>
      <c r="AD39" s="14">
        <f>Materiaalilaskut!G137</f>
        <v>0</v>
      </c>
      <c r="AE39" s="14">
        <f>Materiaalilaskut!H137</f>
        <v>0</v>
      </c>
      <c r="AF39" s="23">
        <f>Materiaalilaskut!W137</f>
        <v>0</v>
      </c>
      <c r="AG39" s="23">
        <f>Materiaalilaskut!X137</f>
        <v>0</v>
      </c>
      <c r="AH39" s="30">
        <f>'Kaavat 1'!R19</f>
        <v>0</v>
      </c>
    </row>
    <row r="40" spans="5:34">
      <c r="Y40" s="11" t="s">
        <v>177</v>
      </c>
      <c r="Z40" s="14"/>
      <c r="AA40" s="14" t="str">
        <f>VLOOKUP(Materiaalilaskut!D138,Materiaalilaskut!$A$5:$C$107,3)</f>
        <v>Materiaali/Tyhjä</v>
      </c>
      <c r="AB40" s="14">
        <f>P38</f>
        <v>0</v>
      </c>
      <c r="AC40" s="14">
        <f>Materiaalilaskut!F138</f>
        <v>100</v>
      </c>
      <c r="AD40" s="14">
        <f>Materiaalilaskut!G138</f>
        <v>0</v>
      </c>
      <c r="AE40" s="14">
        <f>Materiaalilaskut!H138</f>
        <v>0</v>
      </c>
      <c r="AF40" s="23">
        <f>Materiaalilaskut!W138</f>
        <v>0</v>
      </c>
      <c r="AG40" s="23">
        <f>Materiaalilaskut!X138</f>
        <v>0</v>
      </c>
      <c r="AH40" s="30">
        <f>'Kaavat 1'!R20</f>
        <v>0</v>
      </c>
    </row>
    <row r="41" spans="5:34">
      <c r="Y41" s="11" t="s">
        <v>178</v>
      </c>
      <c r="Z41" s="14"/>
      <c r="AA41" s="14" t="str">
        <f>VLOOKUP(Materiaalilaskut!D139,Materiaalilaskut!$A$5:$C$107,3)</f>
        <v>Materiaali/Tyhjä</v>
      </c>
      <c r="AB41" s="14">
        <f>P43</f>
        <v>0</v>
      </c>
      <c r="AC41" s="14">
        <f>Materiaalilaskut!F139</f>
        <v>100</v>
      </c>
      <c r="AD41" s="14">
        <f>Materiaalilaskut!G139</f>
        <v>0</v>
      </c>
      <c r="AE41" s="14">
        <f>Materiaalilaskut!H139</f>
        <v>0</v>
      </c>
      <c r="AF41" s="23">
        <f>Materiaalilaskut!W139</f>
        <v>0</v>
      </c>
      <c r="AG41" s="23">
        <f>Materiaalilaskut!X139</f>
        <v>0</v>
      </c>
      <c r="AH41" s="30">
        <f>'Kaavat 1'!R21</f>
        <v>0</v>
      </c>
    </row>
    <row r="42" spans="5:34">
      <c r="Y42" s="11" t="s">
        <v>179</v>
      </c>
      <c r="Z42" s="14"/>
      <c r="AA42" s="14" t="str">
        <f>VLOOKUP(Materiaalilaskut!D140,Materiaalilaskut!$A$5:$C$107,3)</f>
        <v>Materiaali/Tyhjä</v>
      </c>
      <c r="AB42" s="14">
        <f>P48</f>
        <v>0</v>
      </c>
      <c r="AC42" s="14">
        <f>Materiaalilaskut!F140</f>
        <v>100</v>
      </c>
      <c r="AD42" s="14">
        <f>Materiaalilaskut!G140</f>
        <v>0</v>
      </c>
      <c r="AE42" s="14">
        <f>Materiaalilaskut!H140</f>
        <v>0</v>
      </c>
      <c r="AF42" s="23">
        <f>Materiaalilaskut!W140</f>
        <v>0</v>
      </c>
      <c r="AG42" s="23">
        <f>Materiaalilaskut!X140</f>
        <v>0</v>
      </c>
      <c r="AH42" s="30">
        <f>'Kaavat 1'!R22</f>
        <v>0</v>
      </c>
    </row>
    <row r="43" spans="5:34">
      <c r="E43" s="4">
        <v>0</v>
      </c>
      <c r="F43" t="s">
        <v>1</v>
      </c>
      <c r="P43" s="4">
        <v>0</v>
      </c>
      <c r="Q43" t="s">
        <v>1</v>
      </c>
      <c r="Y43" s="11" t="s">
        <v>180</v>
      </c>
      <c r="Z43" s="14"/>
      <c r="AA43" s="14" t="str">
        <f>VLOOKUP(Materiaalilaskut!D141,Materiaalilaskut!$A$5:$C$107,3)</f>
        <v>Materiaali/Tyhjä</v>
      </c>
      <c r="AB43" s="14">
        <f>P53</f>
        <v>0</v>
      </c>
      <c r="AC43" s="14">
        <f>Materiaalilaskut!F141</f>
        <v>100</v>
      </c>
      <c r="AD43" s="14">
        <f>Materiaalilaskut!G141</f>
        <v>0</v>
      </c>
      <c r="AE43" s="14">
        <f>Materiaalilaskut!H141</f>
        <v>0</v>
      </c>
      <c r="AF43" s="23">
        <f>Materiaalilaskut!W141</f>
        <v>0</v>
      </c>
      <c r="AG43" s="23">
        <f>Materiaalilaskut!X141</f>
        <v>0</v>
      </c>
      <c r="AH43" s="30">
        <f>'Kaavat 1'!R23</f>
        <v>0</v>
      </c>
    </row>
    <row r="44" spans="5:34">
      <c r="Y44" s="11" t="s">
        <v>181</v>
      </c>
      <c r="Z44" s="14"/>
      <c r="AA44" s="14" t="str">
        <f>VLOOKUP(Materiaalilaskut!D142,Materiaalilaskut!$A$5:$C$107,3)</f>
        <v>Materiaali/Tyhjä</v>
      </c>
      <c r="AB44" s="14">
        <f>P58</f>
        <v>0</v>
      </c>
      <c r="AC44" s="14">
        <f>Materiaalilaskut!F142</f>
        <v>100</v>
      </c>
      <c r="AD44" s="14">
        <f>Materiaalilaskut!G142</f>
        <v>0</v>
      </c>
      <c r="AE44" s="14">
        <f>Materiaalilaskut!H142</f>
        <v>0</v>
      </c>
      <c r="AF44" s="23">
        <f>Materiaalilaskut!W142</f>
        <v>0</v>
      </c>
      <c r="AG44" s="23">
        <f>Materiaalilaskut!X142</f>
        <v>0</v>
      </c>
      <c r="AH44" s="30">
        <f>'Kaavat 1'!R24</f>
        <v>0</v>
      </c>
    </row>
    <row r="45" spans="5:34">
      <c r="Y45" s="24" t="s">
        <v>212</v>
      </c>
      <c r="Z45" s="18"/>
      <c r="AA45" s="18"/>
      <c r="AB45" s="18"/>
      <c r="AC45" s="18"/>
      <c r="AD45" s="18"/>
      <c r="AE45" s="18"/>
      <c r="AF45" s="19">
        <f>Materiaalilaskut!W143</f>
        <v>0</v>
      </c>
      <c r="AG45" s="19">
        <f>Materiaalilaskut!X143</f>
        <v>0</v>
      </c>
      <c r="AH45" s="31">
        <f>'Kaavat 1'!R25</f>
        <v>0</v>
      </c>
    </row>
    <row r="46" spans="5:34">
      <c r="Y46" s="25" t="s">
        <v>231</v>
      </c>
      <c r="Z46" s="14"/>
      <c r="AA46" s="14"/>
      <c r="AB46" s="14"/>
      <c r="AC46" s="14"/>
      <c r="AD46" s="14"/>
      <c r="AE46" s="14"/>
      <c r="AF46" s="14"/>
      <c r="AG46" s="14"/>
      <c r="AH46" s="30">
        <f>'Kaavat 1'!R26</f>
        <v>0.17</v>
      </c>
    </row>
    <row r="47" spans="5:34">
      <c r="Y47" s="35" t="s">
        <v>213</v>
      </c>
      <c r="Z47" s="14"/>
      <c r="AA47" s="14"/>
      <c r="AB47" s="14"/>
      <c r="AC47" s="14"/>
      <c r="AD47" s="14"/>
      <c r="AE47" s="14"/>
      <c r="AF47" s="14"/>
      <c r="AG47" s="14"/>
      <c r="AH47" s="34">
        <f>'Kaavat 1'!R27</f>
        <v>5.8823529411764701</v>
      </c>
    </row>
    <row r="48" spans="5:34">
      <c r="E48" s="4">
        <v>0</v>
      </c>
      <c r="F48" t="s">
        <v>1</v>
      </c>
      <c r="P48" s="4">
        <v>0</v>
      </c>
      <c r="Q48" t="s">
        <v>1</v>
      </c>
      <c r="Y48" s="11"/>
      <c r="Z48" s="14"/>
      <c r="AA48" s="14"/>
      <c r="AB48" s="14"/>
      <c r="AC48" s="14"/>
      <c r="AD48" s="14"/>
      <c r="AE48" s="14"/>
      <c r="AF48" s="14"/>
      <c r="AG48" s="14"/>
      <c r="AH48" s="12"/>
    </row>
    <row r="49" spans="5:34">
      <c r="Y49" s="11" t="s">
        <v>239</v>
      </c>
      <c r="Z49" s="14"/>
      <c r="AA49" s="14"/>
      <c r="AB49" s="14"/>
      <c r="AC49" s="14"/>
      <c r="AD49" s="14"/>
      <c r="AE49" s="14"/>
      <c r="AF49" s="38">
        <f>P4</f>
        <v>0</v>
      </c>
      <c r="AG49" s="14" t="s">
        <v>141</v>
      </c>
      <c r="AH49" s="12"/>
    </row>
    <row r="50" spans="5:34">
      <c r="Y50" s="11" t="s">
        <v>240</v>
      </c>
      <c r="Z50" s="14"/>
      <c r="AA50" s="14"/>
      <c r="AB50" s="14"/>
      <c r="AC50" s="14"/>
      <c r="AD50" s="14"/>
      <c r="AE50" s="14"/>
      <c r="AF50" s="26">
        <f>Materiaalilaskut!V143*AF49</f>
        <v>0</v>
      </c>
      <c r="AG50" s="14" t="s">
        <v>77</v>
      </c>
      <c r="AH50" s="12" t="s">
        <v>351</v>
      </c>
    </row>
    <row r="51" spans="5:34">
      <c r="Y51" s="11" t="s">
        <v>240</v>
      </c>
      <c r="Z51" s="14"/>
      <c r="AA51" s="14"/>
      <c r="AB51" s="14"/>
      <c r="AC51" s="14"/>
      <c r="AD51" s="14"/>
      <c r="AE51" s="14"/>
      <c r="AF51" s="26">
        <f>AF50/1000</f>
        <v>0</v>
      </c>
      <c r="AG51" s="14" t="s">
        <v>243</v>
      </c>
      <c r="AH51" s="12"/>
    </row>
    <row r="52" spans="5:34">
      <c r="Y52" s="11" t="s">
        <v>241</v>
      </c>
      <c r="Z52" s="14"/>
      <c r="AA52" s="14"/>
      <c r="AB52" s="14"/>
      <c r="AC52" s="14"/>
      <c r="AD52" s="14"/>
      <c r="AE52" s="14"/>
      <c r="AF52" s="26">
        <f>AF49*AF45</f>
        <v>0</v>
      </c>
      <c r="AG52" s="14" t="s">
        <v>244</v>
      </c>
      <c r="AH52" s="12"/>
    </row>
    <row r="53" spans="5:34">
      <c r="E53" s="4">
        <v>0</v>
      </c>
      <c r="F53" t="s">
        <v>1</v>
      </c>
      <c r="P53" s="4">
        <v>0</v>
      </c>
      <c r="Q53" t="s">
        <v>1</v>
      </c>
      <c r="Y53" s="11" t="s">
        <v>241</v>
      </c>
      <c r="Z53" s="14"/>
      <c r="AA53" s="14"/>
      <c r="AB53" s="14"/>
      <c r="AC53" s="14"/>
      <c r="AD53" s="14"/>
      <c r="AE53" s="14"/>
      <c r="AF53" s="26">
        <f>AF52/1000</f>
        <v>0</v>
      </c>
      <c r="AG53" s="14" t="s">
        <v>249</v>
      </c>
      <c r="AH53" s="12"/>
    </row>
    <row r="54" spans="5:34">
      <c r="Y54" s="11" t="s">
        <v>242</v>
      </c>
      <c r="Z54" s="14"/>
      <c r="AA54" s="14"/>
      <c r="AB54" s="14"/>
      <c r="AC54" s="14"/>
      <c r="AD54" s="14"/>
      <c r="AE54" s="14"/>
      <c r="AF54" s="26">
        <f>AF49*AG45</f>
        <v>0</v>
      </c>
      <c r="AG54" s="14" t="s">
        <v>244</v>
      </c>
      <c r="AH54" s="12"/>
    </row>
    <row r="55" spans="5:34">
      <c r="Y55" s="11" t="s">
        <v>242</v>
      </c>
      <c r="Z55" s="14"/>
      <c r="AA55" s="14"/>
      <c r="AB55" s="14"/>
      <c r="AC55" s="14"/>
      <c r="AD55" s="14"/>
      <c r="AE55" s="14"/>
      <c r="AF55" s="26">
        <f>AF54/1000</f>
        <v>0</v>
      </c>
      <c r="AG55" s="14" t="s">
        <v>249</v>
      </c>
      <c r="AH55" s="12"/>
    </row>
    <row r="56" spans="5:34">
      <c r="Y56" s="11" t="s">
        <v>245</v>
      </c>
      <c r="Z56" s="14"/>
      <c r="AA56" s="14"/>
      <c r="AB56" s="14"/>
      <c r="AC56" s="14"/>
      <c r="AD56" s="14"/>
      <c r="AE56" s="14"/>
      <c r="AF56" s="26">
        <f>AF52+AF54</f>
        <v>0</v>
      </c>
      <c r="AG56" s="14" t="s">
        <v>244</v>
      </c>
      <c r="AH56" s="12"/>
    </row>
    <row r="57" spans="5:34" ht="15" thickBot="1">
      <c r="Y57" s="15" t="s">
        <v>245</v>
      </c>
      <c r="Z57" s="16"/>
      <c r="AA57" s="16"/>
      <c r="AB57" s="16"/>
      <c r="AC57" s="16"/>
      <c r="AD57" s="16"/>
      <c r="AE57" s="16"/>
      <c r="AF57" s="27">
        <f>AF56/1000</f>
        <v>0</v>
      </c>
      <c r="AG57" s="16" t="s">
        <v>249</v>
      </c>
      <c r="AH57" s="17"/>
    </row>
    <row r="58" spans="5:34">
      <c r="E58" s="4">
        <v>0</v>
      </c>
      <c r="F58" t="s">
        <v>1</v>
      </c>
      <c r="P58" s="4">
        <v>0</v>
      </c>
      <c r="Q58" t="s">
        <v>1</v>
      </c>
    </row>
  </sheetData>
  <protectedRanges>
    <protectedRange algorithmName="SHA-512" hashValue="6wWJhT4y44W3v1NcSOtvylua7jcgQLrhKLs2IIIXneNN1pmrSCUgNQPX3gYm0+oRDZKb0ueChjwgHwhDIMkKHw==" saltValue="KIqS0u6cA0zYx+TbJVMYig==" spinCount="100000" sqref="I7" name="Vetolaatikko2"/>
    <protectedRange algorithmName="SHA-512" hashValue="xDJVhiRRs/+97RSiRFEhXI/peqQekJ3s73hS4XlB5jwwW/aHHlECOgaefXGUURUfO0FKL9bThkJO+b369IjrjQ==" saltValue="wZ7Unqj3FpQ2DbGW2djo5Q==" spinCount="100000" sqref="P4 P11 P16 P21 P27 P32 P38 P43 P48 P53 P58" name="Materiaal12"/>
    <protectedRange algorithmName="SHA-512" hashValue="zohaB1ui+YT+D/ag8xCjkLOEfqN2iDaQKmBQnVaDUNX1UiLM2PJeJsBQnqAnXBFFzNTFq1DLSipiJ8DoLTX2gQ==" saltValue="NQDofgcxN3I0iBGau2aEpg==" spinCount="100000" sqref="E4 E11 E16 E21 E27 E32 E38 E43 E48 E53 E58" name="Materiaali 1"/>
    <protectedRange algorithmName="SHA-512" hashValue="cxsH5g+tH8Mc3o+qrlXhlrD1sJHMKoI9JYpoylC+v/3kdf5jfjy3iy45TSnDA0uX460dPotyhOhTxW7LrruQYg==" saltValue="Rx6OKJksXZuVZTzXlkozhw==" spinCount="100000" sqref="I7" name="Vetolaatikko1"/>
  </protectedRanges>
  <phoneticPr fontId="2" type="noConversion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 altText="Materiaalikerros 1">
                <anchor moveWithCells="1">
                  <from>
                    <xdr:col>4</xdr:col>
                    <xdr:colOff>6350</xdr:colOff>
                    <xdr:row>7</xdr:row>
                    <xdr:rowOff>76200</xdr:rowOff>
                  </from>
                  <to>
                    <xdr:col>9</xdr:col>
                    <xdr:colOff>571500</xdr:colOff>
                    <xdr:row>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Drop Down 6">
              <controlPr defaultSize="0" autoLine="0" autoPict="0">
                <anchor moveWithCells="1">
                  <from>
                    <xdr:col>4</xdr:col>
                    <xdr:colOff>12700</xdr:colOff>
                    <xdr:row>12</xdr:row>
                    <xdr:rowOff>139700</xdr:rowOff>
                  </from>
                  <to>
                    <xdr:col>10</xdr:col>
                    <xdr:colOff>6350</xdr:colOff>
                    <xdr:row>14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Drop Down 10">
              <controlPr defaultSize="0" autoLine="0" autoPict="0" altText="Materiaalikerros 1">
                <anchor moveWithCells="1">
                  <from>
                    <xdr:col>4</xdr:col>
                    <xdr:colOff>6350</xdr:colOff>
                    <xdr:row>17</xdr:row>
                    <xdr:rowOff>120650</xdr:rowOff>
                  </from>
                  <to>
                    <xdr:col>9</xdr:col>
                    <xdr:colOff>571500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Drop Down 11">
              <controlPr defaultSize="0" autoLine="0" autoPict="0" altText="Materiaalikerros 1">
                <anchor moveWithCells="1">
                  <from>
                    <xdr:col>4</xdr:col>
                    <xdr:colOff>6350</xdr:colOff>
                    <xdr:row>23</xdr:row>
                    <xdr:rowOff>120650</xdr:rowOff>
                  </from>
                  <to>
                    <xdr:col>9</xdr:col>
                    <xdr:colOff>571500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Drop Down 12">
              <controlPr defaultSize="0" autoLine="0" autoPict="0" altText="Materiaalikerros 1">
                <anchor moveWithCells="1">
                  <from>
                    <xdr:col>4</xdr:col>
                    <xdr:colOff>6350</xdr:colOff>
                    <xdr:row>28</xdr:row>
                    <xdr:rowOff>133350</xdr:rowOff>
                  </from>
                  <to>
                    <xdr:col>9</xdr:col>
                    <xdr:colOff>571500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Drop Down 13">
              <controlPr defaultSize="0" autoLine="0" autoPict="0" altText="Materiaalikerros 1">
                <anchor moveWithCells="1">
                  <from>
                    <xdr:col>4</xdr:col>
                    <xdr:colOff>6350</xdr:colOff>
                    <xdr:row>34</xdr:row>
                    <xdr:rowOff>133350</xdr:rowOff>
                  </from>
                  <to>
                    <xdr:col>9</xdr:col>
                    <xdr:colOff>571500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Drop Down 14">
              <controlPr defaultSize="0" autoLine="0" autoPict="0" altText="Materiaalikerros 1">
                <anchor moveWithCells="1">
                  <from>
                    <xdr:col>4</xdr:col>
                    <xdr:colOff>6350</xdr:colOff>
                    <xdr:row>39</xdr:row>
                    <xdr:rowOff>133350</xdr:rowOff>
                  </from>
                  <to>
                    <xdr:col>9</xdr:col>
                    <xdr:colOff>571500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Drop Down 15">
              <controlPr defaultSize="0" autoLine="0" autoPict="0" altText="Materiaalikerros 1">
                <anchor moveWithCells="1">
                  <from>
                    <xdr:col>4</xdr:col>
                    <xdr:colOff>6350</xdr:colOff>
                    <xdr:row>44</xdr:row>
                    <xdr:rowOff>133350</xdr:rowOff>
                  </from>
                  <to>
                    <xdr:col>9</xdr:col>
                    <xdr:colOff>571500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Drop Down 16">
              <controlPr defaultSize="0" autoLine="0" autoPict="0" altText="Materiaalikerros 1">
                <anchor moveWithCells="1">
                  <from>
                    <xdr:col>4</xdr:col>
                    <xdr:colOff>6350</xdr:colOff>
                    <xdr:row>49</xdr:row>
                    <xdr:rowOff>133350</xdr:rowOff>
                  </from>
                  <to>
                    <xdr:col>9</xdr:col>
                    <xdr:colOff>571500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3" name="Drop Down 17">
              <controlPr defaultSize="0" autoLine="0" autoPict="0" altText="Materiaalikerros 1">
                <anchor moveWithCells="1">
                  <from>
                    <xdr:col>4</xdr:col>
                    <xdr:colOff>6350</xdr:colOff>
                    <xdr:row>54</xdr:row>
                    <xdr:rowOff>133350</xdr:rowOff>
                  </from>
                  <to>
                    <xdr:col>9</xdr:col>
                    <xdr:colOff>571500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4" name="Drop Down 18">
              <controlPr defaultSize="0" autoLine="0" autoPict="0" altText="Materiaalikerros 1">
                <anchor moveWithCells="1">
                  <from>
                    <xdr:col>15</xdr:col>
                    <xdr:colOff>0</xdr:colOff>
                    <xdr:row>7</xdr:row>
                    <xdr:rowOff>82550</xdr:rowOff>
                  </from>
                  <to>
                    <xdr:col>20</xdr:col>
                    <xdr:colOff>565150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5" name="Drop Down 19">
              <controlPr defaultSize="0" autoLine="0" autoPict="0">
                <anchor moveWithCells="1">
                  <from>
                    <xdr:col>15</xdr:col>
                    <xdr:colOff>6350</xdr:colOff>
                    <xdr:row>12</xdr:row>
                    <xdr:rowOff>146050</xdr:rowOff>
                  </from>
                  <to>
                    <xdr:col>21</xdr:col>
                    <xdr:colOff>0</xdr:colOff>
                    <xdr:row>14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6" name="Drop Down 20">
              <controlPr defaultSize="0" autoLine="0" autoPict="0" altText="Materiaalikerros 1">
                <anchor moveWithCells="1">
                  <from>
                    <xdr:col>15</xdr:col>
                    <xdr:colOff>0</xdr:colOff>
                    <xdr:row>17</xdr:row>
                    <xdr:rowOff>127000</xdr:rowOff>
                  </from>
                  <to>
                    <xdr:col>20</xdr:col>
                    <xdr:colOff>565150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7" name="Drop Down 27">
              <controlPr defaultSize="0" autoLine="0" autoPict="0" altText="Materiaalikerros 1">
                <anchor moveWithCells="1">
                  <from>
                    <xdr:col>15</xdr:col>
                    <xdr:colOff>12700</xdr:colOff>
                    <xdr:row>23</xdr:row>
                    <xdr:rowOff>120650</xdr:rowOff>
                  </from>
                  <to>
                    <xdr:col>20</xdr:col>
                    <xdr:colOff>577850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8" name="Drop Down 28">
              <controlPr defaultSize="0" autoLine="0" autoPict="0" altText="Materiaalikerros 1">
                <anchor moveWithCells="1">
                  <from>
                    <xdr:col>15</xdr:col>
                    <xdr:colOff>19050</xdr:colOff>
                    <xdr:row>28</xdr:row>
                    <xdr:rowOff>152400</xdr:rowOff>
                  </from>
                  <to>
                    <xdr:col>20</xdr:col>
                    <xdr:colOff>584200</xdr:colOff>
                    <xdr:row>30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9" name="Drop Down 29">
              <controlPr defaultSize="0" autoLine="0" autoPict="0" altText="Materiaalikerros 1">
                <anchor moveWithCells="1">
                  <from>
                    <xdr:col>15</xdr:col>
                    <xdr:colOff>19050</xdr:colOff>
                    <xdr:row>34</xdr:row>
                    <xdr:rowOff>152400</xdr:rowOff>
                  </from>
                  <to>
                    <xdr:col>20</xdr:col>
                    <xdr:colOff>584200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0" name="Drop Down 30">
              <controlPr defaultSize="0" autoLine="0" autoPict="0" altText="Materiaalikerros 1">
                <anchor moveWithCells="1">
                  <from>
                    <xdr:col>15</xdr:col>
                    <xdr:colOff>19050</xdr:colOff>
                    <xdr:row>39</xdr:row>
                    <xdr:rowOff>152400</xdr:rowOff>
                  </from>
                  <to>
                    <xdr:col>20</xdr:col>
                    <xdr:colOff>584200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1" name="Drop Down 31">
              <controlPr defaultSize="0" autoLine="0" autoPict="0" altText="Materiaalikerros 1">
                <anchor moveWithCells="1">
                  <from>
                    <xdr:col>15</xdr:col>
                    <xdr:colOff>19050</xdr:colOff>
                    <xdr:row>44</xdr:row>
                    <xdr:rowOff>152400</xdr:rowOff>
                  </from>
                  <to>
                    <xdr:col>20</xdr:col>
                    <xdr:colOff>584200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2" name="Drop Down 32">
              <controlPr defaultSize="0" autoLine="0" autoPict="0" altText="Materiaalikerros 1">
                <anchor moveWithCells="1">
                  <from>
                    <xdr:col>15</xdr:col>
                    <xdr:colOff>19050</xdr:colOff>
                    <xdr:row>49</xdr:row>
                    <xdr:rowOff>152400</xdr:rowOff>
                  </from>
                  <to>
                    <xdr:col>20</xdr:col>
                    <xdr:colOff>584200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3" name="Drop Down 33">
              <controlPr defaultSize="0" autoLine="0" autoPict="0" altText="Materiaalikerros 1">
                <anchor moveWithCells="1">
                  <from>
                    <xdr:col>15</xdr:col>
                    <xdr:colOff>19050</xdr:colOff>
                    <xdr:row>54</xdr:row>
                    <xdr:rowOff>152400</xdr:rowOff>
                  </from>
                  <to>
                    <xdr:col>20</xdr:col>
                    <xdr:colOff>584200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4" name="Drop Down 34">
              <controlPr defaultSize="0" autoLine="0" autoPict="0">
                <anchor moveWithCells="1">
                  <from>
                    <xdr:col>3</xdr:col>
                    <xdr:colOff>603250</xdr:colOff>
                    <xdr:row>4</xdr:row>
                    <xdr:rowOff>158750</xdr:rowOff>
                  </from>
                  <to>
                    <xdr:col>7</xdr:col>
                    <xdr:colOff>514350</xdr:colOff>
                    <xdr:row>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5" name="Drop Down 35">
              <controlPr defaultSize="0" autoLine="0" autoPict="0">
                <anchor moveWithCells="1">
                  <from>
                    <xdr:col>14</xdr:col>
                    <xdr:colOff>603250</xdr:colOff>
                    <xdr:row>4</xdr:row>
                    <xdr:rowOff>95250</xdr:rowOff>
                  </from>
                  <to>
                    <xdr:col>18</xdr:col>
                    <xdr:colOff>514350</xdr:colOff>
                    <xdr:row>6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2000D-15FB-443A-968E-E57FC47FFC95}">
  <sheetPr codeName="Taul2"/>
  <dimension ref="A1:AL150"/>
  <sheetViews>
    <sheetView topLeftCell="A79" zoomScale="90" zoomScaleNormal="90" workbookViewId="0">
      <selection activeCell="R59" sqref="R59"/>
    </sheetView>
  </sheetViews>
  <sheetFormatPr defaultRowHeight="14.5"/>
  <cols>
    <col min="3" max="3" width="31.90625" customWidth="1"/>
    <col min="4" max="4" width="11.90625" bestFit="1" customWidth="1"/>
    <col min="5" max="5" width="10" customWidth="1"/>
    <col min="6" max="6" width="9.6328125" customWidth="1"/>
    <col min="7" max="7" width="12" bestFit="1" customWidth="1"/>
    <col min="8" max="9" width="9.81640625" bestFit="1" customWidth="1"/>
    <col min="10" max="10" width="17.1796875" bestFit="1" customWidth="1"/>
    <col min="11" max="11" width="17.1796875" customWidth="1"/>
    <col min="12" max="12" width="16.81640625" customWidth="1"/>
    <col min="13" max="13" width="17.26953125" customWidth="1"/>
    <col min="14" max="14" width="17.81640625" customWidth="1"/>
    <col min="15" max="15" width="17.26953125" customWidth="1"/>
    <col min="16" max="16" width="18" customWidth="1"/>
    <col min="25" max="38" width="0" hidden="1" customWidth="1"/>
  </cols>
  <sheetData>
    <row r="1" spans="1:3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9"/>
      <c r="S1" s="69"/>
      <c r="T1" s="69"/>
    </row>
    <row r="2" spans="1:38" ht="58">
      <c r="A2" s="70"/>
      <c r="B2" s="70"/>
      <c r="C2" s="70"/>
      <c r="D2" s="70" t="s">
        <v>13</v>
      </c>
      <c r="E2" s="70" t="s">
        <v>5</v>
      </c>
      <c r="F2" s="70" t="s">
        <v>6</v>
      </c>
      <c r="G2" s="70" t="s">
        <v>11</v>
      </c>
      <c r="H2" s="70" t="s">
        <v>0</v>
      </c>
      <c r="I2" s="70" t="s">
        <v>7</v>
      </c>
      <c r="J2" s="70" t="s">
        <v>21</v>
      </c>
      <c r="K2" s="70" t="s">
        <v>169</v>
      </c>
      <c r="L2" s="71" t="s">
        <v>14</v>
      </c>
      <c r="M2" s="71" t="s">
        <v>17</v>
      </c>
      <c r="N2" s="71" t="s">
        <v>15</v>
      </c>
      <c r="O2" s="71" t="s">
        <v>16</v>
      </c>
      <c r="P2" s="71" t="s">
        <v>18</v>
      </c>
      <c r="Q2" s="68"/>
      <c r="R2" s="69"/>
      <c r="S2" s="69"/>
      <c r="T2" s="69"/>
      <c r="AB2" t="s">
        <v>82</v>
      </c>
      <c r="AC2" s="1" t="s">
        <v>83</v>
      </c>
      <c r="AD2" t="s">
        <v>89</v>
      </c>
      <c r="AE2" t="s">
        <v>84</v>
      </c>
      <c r="AF2" t="s">
        <v>85</v>
      </c>
      <c r="AG2" t="s">
        <v>86</v>
      </c>
      <c r="AH2" t="s">
        <v>90</v>
      </c>
      <c r="AI2" t="s">
        <v>91</v>
      </c>
      <c r="AJ2" t="s">
        <v>92</v>
      </c>
      <c r="AK2" t="s">
        <v>93</v>
      </c>
      <c r="AL2" t="s">
        <v>94</v>
      </c>
    </row>
    <row r="3" spans="1:38">
      <c r="A3" s="70"/>
      <c r="B3" s="70"/>
      <c r="C3" s="70"/>
      <c r="D3" s="70" t="s">
        <v>316</v>
      </c>
      <c r="E3" s="70" t="s">
        <v>8</v>
      </c>
      <c r="F3" s="72" t="s">
        <v>9</v>
      </c>
      <c r="G3" s="70" t="s">
        <v>12</v>
      </c>
      <c r="H3" s="70"/>
      <c r="I3" s="70" t="s">
        <v>10</v>
      </c>
      <c r="J3" s="70" t="s">
        <v>10</v>
      </c>
      <c r="K3" s="70" t="s">
        <v>10</v>
      </c>
      <c r="L3" s="70" t="s">
        <v>10</v>
      </c>
      <c r="M3" s="70" t="s">
        <v>10</v>
      </c>
      <c r="N3" s="70" t="s">
        <v>10</v>
      </c>
      <c r="O3" s="70" t="s">
        <v>10</v>
      </c>
      <c r="P3" s="70" t="s">
        <v>10</v>
      </c>
      <c r="Q3" s="68"/>
      <c r="R3" s="69"/>
      <c r="S3" s="69"/>
      <c r="T3" s="69"/>
      <c r="Y3" t="s">
        <v>87</v>
      </c>
      <c r="AD3" t="s">
        <v>96</v>
      </c>
    </row>
    <row r="4" spans="1:38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68"/>
      <c r="R4" s="69"/>
      <c r="S4" s="69"/>
      <c r="T4" s="69"/>
      <c r="Y4" t="s">
        <v>88</v>
      </c>
      <c r="AB4">
        <v>3.4</v>
      </c>
      <c r="AC4">
        <v>-1.7</v>
      </c>
      <c r="AD4">
        <v>43</v>
      </c>
      <c r="AE4">
        <v>1.03</v>
      </c>
      <c r="AF4">
        <v>33</v>
      </c>
      <c r="AG4">
        <v>13</v>
      </c>
      <c r="AI4">
        <v>36</v>
      </c>
      <c r="AJ4">
        <v>21</v>
      </c>
      <c r="AK4">
        <v>43</v>
      </c>
      <c r="AL4">
        <v>0</v>
      </c>
    </row>
    <row r="5" spans="1:38">
      <c r="A5" s="70">
        <v>1</v>
      </c>
      <c r="B5" s="70"/>
      <c r="C5" s="70" t="s">
        <v>232</v>
      </c>
      <c r="D5" s="70">
        <v>100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68"/>
      <c r="R5" s="69">
        <v>1</v>
      </c>
      <c r="S5" s="69"/>
      <c r="T5" s="69"/>
      <c r="Y5" t="s">
        <v>95</v>
      </c>
      <c r="AB5">
        <v>4</v>
      </c>
      <c r="AC5">
        <v>-1.5</v>
      </c>
      <c r="AD5">
        <v>36.5</v>
      </c>
      <c r="AE5">
        <v>1.03</v>
      </c>
      <c r="AF5">
        <v>0</v>
      </c>
      <c r="AG5">
        <v>0</v>
      </c>
      <c r="AH5">
        <v>0</v>
      </c>
      <c r="AI5">
        <v>33</v>
      </c>
      <c r="AJ5">
        <v>0</v>
      </c>
      <c r="AK5">
        <v>67</v>
      </c>
      <c r="AL5">
        <v>0</v>
      </c>
    </row>
    <row r="6" spans="1:38">
      <c r="A6" s="70">
        <v>2</v>
      </c>
      <c r="B6" s="70" t="s">
        <v>2</v>
      </c>
      <c r="C6" s="70" t="s">
        <v>3</v>
      </c>
      <c r="D6" s="70">
        <v>0.11</v>
      </c>
      <c r="E6" s="70">
        <v>0.2</v>
      </c>
      <c r="F6" s="70">
        <v>-1.6</v>
      </c>
      <c r="G6" s="70">
        <v>470</v>
      </c>
      <c r="H6" s="70">
        <v>1.05</v>
      </c>
      <c r="I6" s="70">
        <v>99</v>
      </c>
      <c r="J6" s="70">
        <v>0</v>
      </c>
      <c r="K6" s="70">
        <v>0</v>
      </c>
      <c r="L6" s="70">
        <v>0</v>
      </c>
      <c r="M6" s="70">
        <v>0</v>
      </c>
      <c r="N6" s="70">
        <v>100</v>
      </c>
      <c r="O6" s="70">
        <v>0</v>
      </c>
      <c r="P6" s="70">
        <v>0</v>
      </c>
      <c r="Q6" s="68"/>
      <c r="R6" s="69">
        <v>2</v>
      </c>
      <c r="S6" s="69"/>
      <c r="T6" s="69"/>
      <c r="Y6" t="s">
        <v>97</v>
      </c>
      <c r="AB6">
        <v>4</v>
      </c>
      <c r="AC6">
        <v>-1.4</v>
      </c>
      <c r="AD6">
        <v>160</v>
      </c>
      <c r="AE6">
        <v>1.03</v>
      </c>
      <c r="AF6">
        <v>0</v>
      </c>
      <c r="AG6">
        <v>0</v>
      </c>
      <c r="AH6">
        <v>0</v>
      </c>
      <c r="AI6">
        <v>30</v>
      </c>
      <c r="AJ6">
        <v>0</v>
      </c>
      <c r="AK6">
        <v>70</v>
      </c>
      <c r="AL6">
        <v>0</v>
      </c>
    </row>
    <row r="7" spans="1:38">
      <c r="A7" s="70">
        <v>3</v>
      </c>
      <c r="B7" s="70"/>
      <c r="C7" s="70" t="s">
        <v>170</v>
      </c>
      <c r="D7" s="70">
        <v>0.11</v>
      </c>
      <c r="E7" s="70">
        <v>0.41</v>
      </c>
      <c r="F7" s="70">
        <v>-1.6</v>
      </c>
      <c r="G7" s="70">
        <v>510</v>
      </c>
      <c r="H7" s="70">
        <v>1.05</v>
      </c>
      <c r="I7" s="70">
        <v>94</v>
      </c>
      <c r="J7" s="70">
        <v>0</v>
      </c>
      <c r="K7" s="70">
        <v>0</v>
      </c>
      <c r="L7" s="70">
        <v>0</v>
      </c>
      <c r="M7" s="70">
        <v>0</v>
      </c>
      <c r="N7" s="70">
        <v>95</v>
      </c>
      <c r="O7" s="70">
        <v>5</v>
      </c>
      <c r="P7" s="70">
        <v>0</v>
      </c>
      <c r="Q7" s="68"/>
      <c r="R7" s="69"/>
      <c r="S7" s="69"/>
      <c r="T7" s="69"/>
      <c r="Y7" t="s">
        <v>98</v>
      </c>
      <c r="AB7">
        <v>1.5</v>
      </c>
      <c r="AC7">
        <v>-1.5</v>
      </c>
      <c r="AD7">
        <v>64</v>
      </c>
      <c r="AE7">
        <v>1.03</v>
      </c>
      <c r="AF7">
        <v>67</v>
      </c>
      <c r="AG7">
        <v>16</v>
      </c>
      <c r="AH7">
        <v>0</v>
      </c>
      <c r="AI7">
        <v>27</v>
      </c>
      <c r="AJ7">
        <v>67</v>
      </c>
      <c r="AK7">
        <v>6</v>
      </c>
      <c r="AL7">
        <v>0</v>
      </c>
    </row>
    <row r="8" spans="1:38">
      <c r="A8" s="70">
        <v>4</v>
      </c>
      <c r="B8" s="70"/>
      <c r="C8" s="70" t="s">
        <v>276</v>
      </c>
      <c r="D8" s="70">
        <v>0.13</v>
      </c>
      <c r="E8" s="70">
        <v>8.7999999999999995E-2</v>
      </c>
      <c r="F8" s="70">
        <v>-1.6</v>
      </c>
      <c r="G8" s="70">
        <v>474</v>
      </c>
      <c r="H8" s="70">
        <v>1.1000000000000001</v>
      </c>
      <c r="I8" s="70">
        <v>100</v>
      </c>
      <c r="J8" s="70">
        <v>0</v>
      </c>
      <c r="K8" s="70">
        <v>0</v>
      </c>
      <c r="L8" s="70">
        <v>0</v>
      </c>
      <c r="M8" s="70">
        <v>0</v>
      </c>
      <c r="N8" s="70">
        <v>100</v>
      </c>
      <c r="O8" s="70">
        <v>0</v>
      </c>
      <c r="P8" s="70">
        <v>0</v>
      </c>
      <c r="Q8" s="68"/>
      <c r="R8" s="69"/>
      <c r="S8" s="69"/>
      <c r="T8" s="69"/>
      <c r="Y8" t="s">
        <v>99</v>
      </c>
      <c r="AB8">
        <v>0.78</v>
      </c>
      <c r="AC8">
        <v>-1.5</v>
      </c>
      <c r="AD8">
        <v>53</v>
      </c>
      <c r="AE8">
        <v>1.03</v>
      </c>
      <c r="AF8">
        <v>89</v>
      </c>
      <c r="AG8">
        <v>2</v>
      </c>
      <c r="AH8">
        <v>0</v>
      </c>
      <c r="AI8">
        <v>0</v>
      </c>
      <c r="AJ8">
        <v>100</v>
      </c>
      <c r="AK8">
        <v>0</v>
      </c>
      <c r="AL8">
        <v>0</v>
      </c>
    </row>
    <row r="9" spans="1:38">
      <c r="A9" s="70">
        <v>5</v>
      </c>
      <c r="B9" s="70"/>
      <c r="C9" s="70" t="s">
        <v>353</v>
      </c>
      <c r="D9" s="70">
        <v>0.12</v>
      </c>
      <c r="E9" s="70">
        <v>0.2</v>
      </c>
      <c r="F9" s="70">
        <v>-1.6</v>
      </c>
      <c r="G9" s="70">
        <v>441</v>
      </c>
      <c r="H9" s="70">
        <v>1.05</v>
      </c>
      <c r="I9" s="70">
        <v>99</v>
      </c>
      <c r="J9" s="70">
        <v>0</v>
      </c>
      <c r="K9" s="70">
        <v>0</v>
      </c>
      <c r="L9" s="70">
        <v>0</v>
      </c>
      <c r="M9" s="70">
        <v>0</v>
      </c>
      <c r="N9" s="70">
        <v>99</v>
      </c>
      <c r="O9" s="70">
        <v>1</v>
      </c>
      <c r="P9" s="70">
        <v>0</v>
      </c>
      <c r="Q9" s="68"/>
      <c r="R9" s="69"/>
      <c r="S9" s="69"/>
      <c r="T9" s="69"/>
      <c r="Y9" t="s">
        <v>100</v>
      </c>
      <c r="AB9">
        <v>1.6</v>
      </c>
      <c r="AC9">
        <v>-1.5</v>
      </c>
      <c r="AD9">
        <v>26</v>
      </c>
      <c r="AE9">
        <v>1.03</v>
      </c>
      <c r="AF9">
        <v>70</v>
      </c>
      <c r="AG9">
        <v>6</v>
      </c>
      <c r="AH9">
        <v>0</v>
      </c>
      <c r="AI9">
        <v>5</v>
      </c>
      <c r="AJ9">
        <v>95</v>
      </c>
      <c r="AK9">
        <v>0</v>
      </c>
      <c r="AL9">
        <v>0</v>
      </c>
    </row>
    <row r="10" spans="1:38">
      <c r="A10" s="70">
        <v>6</v>
      </c>
      <c r="B10" s="70"/>
      <c r="C10" s="70" t="s">
        <v>171</v>
      </c>
      <c r="D10" s="70">
        <v>0.11</v>
      </c>
      <c r="E10" s="70">
        <v>0.36</v>
      </c>
      <c r="F10" s="70">
        <v>-1.6</v>
      </c>
      <c r="G10" s="70">
        <v>510</v>
      </c>
      <c r="H10" s="70">
        <v>1.05</v>
      </c>
      <c r="I10" s="70">
        <v>94</v>
      </c>
      <c r="J10" s="70">
        <v>0</v>
      </c>
      <c r="K10" s="70">
        <v>0</v>
      </c>
      <c r="L10" s="70">
        <v>0</v>
      </c>
      <c r="M10" s="70">
        <v>0</v>
      </c>
      <c r="N10" s="70">
        <v>95</v>
      </c>
      <c r="O10" s="70">
        <v>5</v>
      </c>
      <c r="P10" s="70">
        <v>0</v>
      </c>
      <c r="Q10" s="68"/>
      <c r="R10" s="69"/>
      <c r="S10" s="69"/>
      <c r="T10" s="69"/>
    </row>
    <row r="11" spans="1:38">
      <c r="A11" s="70">
        <v>7</v>
      </c>
      <c r="B11" s="70"/>
      <c r="C11" s="70" t="s">
        <v>354</v>
      </c>
      <c r="D11" s="73">
        <v>3</v>
      </c>
      <c r="E11" s="74">
        <v>8.7999999999999995E-2</v>
      </c>
      <c r="F11" s="70">
        <v>-1.6</v>
      </c>
      <c r="G11" s="75">
        <v>77.356800000000007</v>
      </c>
      <c r="H11" s="74">
        <v>0.17952000000000004</v>
      </c>
      <c r="I11" s="75">
        <v>16.32</v>
      </c>
      <c r="J11" s="75">
        <v>0</v>
      </c>
      <c r="K11" s="75">
        <v>0</v>
      </c>
      <c r="L11" s="75">
        <v>0</v>
      </c>
      <c r="M11" s="75">
        <v>0</v>
      </c>
      <c r="N11" s="75">
        <v>16.32</v>
      </c>
      <c r="O11" s="75">
        <v>0</v>
      </c>
      <c r="P11" s="75">
        <v>0</v>
      </c>
      <c r="Q11" s="68"/>
      <c r="R11" s="69"/>
      <c r="S11" s="69"/>
      <c r="T11" s="69"/>
    </row>
    <row r="12" spans="1:38">
      <c r="A12" s="70">
        <v>8</v>
      </c>
      <c r="B12" s="70"/>
      <c r="C12" s="70" t="s">
        <v>355</v>
      </c>
      <c r="D12" s="73">
        <v>3</v>
      </c>
      <c r="E12" s="74">
        <v>8.7999999999999995E-2</v>
      </c>
      <c r="F12" s="70">
        <v>-1.6</v>
      </c>
      <c r="G12" s="75">
        <v>59.155200000000001</v>
      </c>
      <c r="H12" s="74">
        <v>0.13728000000000001</v>
      </c>
      <c r="I12" s="75">
        <v>12.479999999999999</v>
      </c>
      <c r="J12" s="75">
        <v>0</v>
      </c>
      <c r="K12" s="75">
        <v>0</v>
      </c>
      <c r="L12" s="75">
        <v>0</v>
      </c>
      <c r="M12" s="75">
        <v>0</v>
      </c>
      <c r="N12" s="75">
        <v>12.479999999999999</v>
      </c>
      <c r="O12" s="75">
        <v>0</v>
      </c>
      <c r="P12" s="75">
        <v>0</v>
      </c>
      <c r="Q12" s="68"/>
      <c r="R12" s="69"/>
      <c r="S12" s="69"/>
      <c r="T12" s="69"/>
    </row>
    <row r="13" spans="1:38">
      <c r="A13" s="70">
        <v>9</v>
      </c>
      <c r="B13" s="70"/>
      <c r="C13" s="70" t="s">
        <v>356</v>
      </c>
      <c r="D13" s="73">
        <v>3</v>
      </c>
      <c r="E13" s="74">
        <v>8.7999999999999995E-2</v>
      </c>
      <c r="F13" s="70">
        <v>-1.6</v>
      </c>
      <c r="G13" s="75">
        <v>38.678400000000003</v>
      </c>
      <c r="H13" s="74">
        <v>8.976000000000002E-2</v>
      </c>
      <c r="I13" s="75">
        <v>8.16</v>
      </c>
      <c r="J13" s="75">
        <v>0</v>
      </c>
      <c r="K13" s="75">
        <v>0</v>
      </c>
      <c r="L13" s="75">
        <v>0</v>
      </c>
      <c r="M13" s="75">
        <v>0</v>
      </c>
      <c r="N13" s="75">
        <v>8.16</v>
      </c>
      <c r="O13" s="75">
        <v>0</v>
      </c>
      <c r="P13" s="75">
        <v>0</v>
      </c>
      <c r="Q13" s="68"/>
      <c r="R13" s="69"/>
      <c r="S13" s="69"/>
      <c r="T13" s="69"/>
    </row>
    <row r="14" spans="1:38">
      <c r="A14" s="70">
        <v>10</v>
      </c>
      <c r="B14" s="70"/>
      <c r="C14" s="70" t="s">
        <v>357</v>
      </c>
      <c r="D14" s="73">
        <v>3</v>
      </c>
      <c r="E14" s="74">
        <v>8.7999999999999995E-2</v>
      </c>
      <c r="F14" s="70">
        <v>-1.6</v>
      </c>
      <c r="G14" s="75">
        <v>161.16000000000003</v>
      </c>
      <c r="H14" s="74">
        <v>0.37400000000000005</v>
      </c>
      <c r="I14" s="75">
        <v>34</v>
      </c>
      <c r="J14" s="75">
        <v>0</v>
      </c>
      <c r="K14" s="75">
        <v>0</v>
      </c>
      <c r="L14" s="75">
        <v>0</v>
      </c>
      <c r="M14" s="75">
        <v>0</v>
      </c>
      <c r="N14" s="75">
        <v>34</v>
      </c>
      <c r="O14" s="75">
        <v>0</v>
      </c>
      <c r="P14" s="75">
        <v>0</v>
      </c>
      <c r="Q14" s="68"/>
      <c r="R14" s="69"/>
      <c r="S14" s="69"/>
      <c r="T14" s="69"/>
    </row>
    <row r="15" spans="1:38">
      <c r="A15" s="70">
        <v>11</v>
      </c>
      <c r="B15" s="70"/>
      <c r="C15" s="70" t="s">
        <v>358</v>
      </c>
      <c r="D15" s="73">
        <v>3</v>
      </c>
      <c r="E15" s="74">
        <v>8.7999999999999995E-2</v>
      </c>
      <c r="F15" s="70">
        <v>-1.6</v>
      </c>
      <c r="G15" s="75">
        <v>123.24000000000001</v>
      </c>
      <c r="H15" s="74">
        <v>0.28600000000000003</v>
      </c>
      <c r="I15" s="75">
        <v>26</v>
      </c>
      <c r="J15" s="75">
        <v>0</v>
      </c>
      <c r="K15" s="75">
        <v>0</v>
      </c>
      <c r="L15" s="75">
        <v>0</v>
      </c>
      <c r="M15" s="75">
        <v>0</v>
      </c>
      <c r="N15" s="75">
        <v>26</v>
      </c>
      <c r="O15" s="75">
        <v>0</v>
      </c>
      <c r="P15" s="75">
        <v>0</v>
      </c>
      <c r="Q15" s="68"/>
      <c r="R15" s="69"/>
      <c r="S15" s="69"/>
      <c r="T15" s="69"/>
    </row>
    <row r="16" spans="1:38">
      <c r="A16" s="70">
        <v>12</v>
      </c>
      <c r="B16" s="70"/>
      <c r="C16" s="70" t="s">
        <v>359</v>
      </c>
      <c r="D16" s="73">
        <v>3</v>
      </c>
      <c r="E16" s="74">
        <v>8.7999999999999995E-2</v>
      </c>
      <c r="F16" s="70">
        <v>-1.6</v>
      </c>
      <c r="G16" s="75">
        <v>80.580000000000013</v>
      </c>
      <c r="H16" s="74">
        <v>0.18700000000000003</v>
      </c>
      <c r="I16" s="75">
        <v>17</v>
      </c>
      <c r="J16" s="75">
        <v>0</v>
      </c>
      <c r="K16" s="75">
        <v>0</v>
      </c>
      <c r="L16" s="75">
        <v>0</v>
      </c>
      <c r="M16" s="75">
        <v>0</v>
      </c>
      <c r="N16" s="75">
        <v>17</v>
      </c>
      <c r="O16" s="75">
        <v>0</v>
      </c>
      <c r="P16" s="75">
        <v>0</v>
      </c>
      <c r="Q16" s="68"/>
      <c r="R16" s="69"/>
      <c r="S16" s="69"/>
      <c r="T16" s="69"/>
    </row>
    <row r="17" spans="1:20">
      <c r="A17" s="70">
        <v>13</v>
      </c>
      <c r="B17" s="70" t="s">
        <v>19</v>
      </c>
      <c r="C17" s="70" t="s">
        <v>20</v>
      </c>
      <c r="D17" s="70">
        <v>0.25</v>
      </c>
      <c r="E17" s="70">
        <v>0.36</v>
      </c>
      <c r="F17" s="70">
        <v>0</v>
      </c>
      <c r="G17" s="70">
        <v>644</v>
      </c>
      <c r="H17" s="70">
        <v>1.05</v>
      </c>
      <c r="I17" s="70">
        <v>0</v>
      </c>
      <c r="J17" s="70">
        <v>1</v>
      </c>
      <c r="K17" s="70">
        <v>0</v>
      </c>
      <c r="L17" s="70">
        <v>0</v>
      </c>
      <c r="M17" s="70">
        <v>80</v>
      </c>
      <c r="N17" s="70">
        <v>0</v>
      </c>
      <c r="O17" s="70">
        <v>20</v>
      </c>
      <c r="P17" s="70">
        <v>0</v>
      </c>
      <c r="Q17" s="68"/>
      <c r="R17" s="69"/>
      <c r="S17" s="69"/>
      <c r="T17" s="69"/>
    </row>
    <row r="18" spans="1:20">
      <c r="A18" s="70">
        <v>14</v>
      </c>
      <c r="B18" s="70"/>
      <c r="C18" s="70" t="s">
        <v>22</v>
      </c>
      <c r="D18" s="70">
        <v>0.15</v>
      </c>
      <c r="E18" s="70">
        <v>0.4</v>
      </c>
      <c r="F18" s="70">
        <v>0</v>
      </c>
      <c r="G18" s="70">
        <v>304</v>
      </c>
      <c r="H18" s="70">
        <v>1.05</v>
      </c>
      <c r="I18" s="70">
        <v>0</v>
      </c>
      <c r="J18" s="70">
        <v>0</v>
      </c>
      <c r="K18" s="70">
        <v>0</v>
      </c>
      <c r="L18" s="70">
        <v>100</v>
      </c>
      <c r="M18" s="70">
        <v>0</v>
      </c>
      <c r="N18" s="70">
        <v>0</v>
      </c>
      <c r="O18" s="70">
        <v>0</v>
      </c>
      <c r="P18" s="70">
        <v>0</v>
      </c>
      <c r="Q18" s="68"/>
      <c r="R18" s="69"/>
      <c r="S18" s="69"/>
      <c r="T18" s="69"/>
    </row>
    <row r="19" spans="1:20">
      <c r="A19" s="70">
        <v>15</v>
      </c>
      <c r="B19" s="70"/>
      <c r="C19" s="70" t="s">
        <v>23</v>
      </c>
      <c r="D19" s="70">
        <v>1.7</v>
      </c>
      <c r="E19" s="70">
        <v>0.19</v>
      </c>
      <c r="F19" s="70">
        <v>0</v>
      </c>
      <c r="G19" s="70">
        <v>2423</v>
      </c>
      <c r="H19" s="70">
        <v>1.03</v>
      </c>
      <c r="I19" s="70">
        <v>0</v>
      </c>
      <c r="J19" s="70">
        <v>4</v>
      </c>
      <c r="K19" s="70">
        <v>0</v>
      </c>
      <c r="L19" s="70">
        <v>0</v>
      </c>
      <c r="M19" s="70">
        <v>80</v>
      </c>
      <c r="N19" s="70">
        <v>0</v>
      </c>
      <c r="O19" s="70">
        <v>20</v>
      </c>
      <c r="P19" s="70">
        <v>0</v>
      </c>
      <c r="Q19" s="68"/>
      <c r="R19" s="69"/>
      <c r="S19" s="69"/>
      <c r="T19" s="69"/>
    </row>
    <row r="20" spans="1:20">
      <c r="A20" s="70">
        <v>16</v>
      </c>
      <c r="B20" s="70"/>
      <c r="C20" s="70" t="s">
        <v>27</v>
      </c>
      <c r="D20" s="70">
        <v>1.7</v>
      </c>
      <c r="E20" s="70">
        <v>0.17</v>
      </c>
      <c r="F20" s="70">
        <v>0</v>
      </c>
      <c r="G20" s="70">
        <v>1235</v>
      </c>
      <c r="H20" s="70">
        <v>1.03</v>
      </c>
      <c r="I20" s="70">
        <v>0</v>
      </c>
      <c r="J20" s="70">
        <v>1</v>
      </c>
      <c r="K20" s="70">
        <v>0</v>
      </c>
      <c r="L20" s="70">
        <v>0</v>
      </c>
      <c r="M20" s="70">
        <v>80</v>
      </c>
      <c r="N20" s="70">
        <v>0</v>
      </c>
      <c r="O20" s="70">
        <v>20</v>
      </c>
      <c r="P20" s="70">
        <v>0</v>
      </c>
      <c r="Q20" s="68"/>
      <c r="R20" s="69"/>
      <c r="S20" s="69"/>
      <c r="T20" s="69"/>
    </row>
    <row r="21" spans="1:20">
      <c r="A21" s="70">
        <v>17</v>
      </c>
      <c r="B21" s="70"/>
      <c r="C21" s="70" t="s">
        <v>25</v>
      </c>
      <c r="D21" s="70">
        <v>1.7</v>
      </c>
      <c r="E21" s="70">
        <v>0.17</v>
      </c>
      <c r="F21" s="70">
        <v>0</v>
      </c>
      <c r="G21" s="70">
        <v>1194</v>
      </c>
      <c r="H21" s="70">
        <v>1.03</v>
      </c>
      <c r="I21" s="70">
        <v>0</v>
      </c>
      <c r="J21" s="70">
        <v>1</v>
      </c>
      <c r="K21" s="70">
        <v>0</v>
      </c>
      <c r="L21" s="70">
        <v>0</v>
      </c>
      <c r="M21" s="70">
        <v>80</v>
      </c>
      <c r="N21" s="70">
        <v>0</v>
      </c>
      <c r="O21" s="70">
        <v>20</v>
      </c>
      <c r="P21" s="70">
        <v>0</v>
      </c>
      <c r="Q21" s="68"/>
      <c r="R21" s="69"/>
      <c r="S21" s="69"/>
      <c r="T21" s="69"/>
    </row>
    <row r="22" spans="1:20">
      <c r="A22" s="70">
        <v>18</v>
      </c>
      <c r="B22" s="70"/>
      <c r="C22" s="70" t="s">
        <v>26</v>
      </c>
      <c r="D22" s="70">
        <v>1.7</v>
      </c>
      <c r="E22" s="70">
        <v>0.17</v>
      </c>
      <c r="F22" s="70">
        <v>0</v>
      </c>
      <c r="G22" s="70">
        <v>1030</v>
      </c>
      <c r="H22" s="70">
        <v>1.03</v>
      </c>
      <c r="I22" s="70">
        <v>0</v>
      </c>
      <c r="J22" s="70">
        <v>1</v>
      </c>
      <c r="K22" s="70">
        <v>0</v>
      </c>
      <c r="L22" s="70">
        <v>0</v>
      </c>
      <c r="M22" s="70">
        <v>80</v>
      </c>
      <c r="N22" s="70">
        <v>0</v>
      </c>
      <c r="O22" s="70">
        <v>20</v>
      </c>
      <c r="P22" s="70">
        <v>0</v>
      </c>
      <c r="Q22" s="68"/>
      <c r="R22" s="69"/>
      <c r="S22" s="69"/>
      <c r="T22" s="69"/>
    </row>
    <row r="23" spans="1:20">
      <c r="A23" s="70">
        <v>19</v>
      </c>
      <c r="B23" s="70"/>
      <c r="C23" s="70" t="s">
        <v>28</v>
      </c>
      <c r="D23" s="70">
        <v>1.7</v>
      </c>
      <c r="E23" s="70">
        <v>0.17</v>
      </c>
      <c r="F23" s="70">
        <v>0</v>
      </c>
      <c r="G23" s="70">
        <v>1115</v>
      </c>
      <c r="H23" s="70">
        <v>1.03</v>
      </c>
      <c r="I23" s="70">
        <v>0</v>
      </c>
      <c r="J23" s="70">
        <v>1</v>
      </c>
      <c r="K23" s="70">
        <v>0</v>
      </c>
      <c r="L23" s="70">
        <v>0</v>
      </c>
      <c r="M23" s="70">
        <v>80</v>
      </c>
      <c r="N23" s="70">
        <v>0</v>
      </c>
      <c r="O23" s="70">
        <v>20</v>
      </c>
      <c r="P23" s="70">
        <v>0</v>
      </c>
      <c r="Q23" s="68"/>
      <c r="R23" s="69"/>
      <c r="S23" s="69"/>
      <c r="T23" s="69"/>
    </row>
    <row r="24" spans="1:20">
      <c r="A24" s="70">
        <v>20</v>
      </c>
      <c r="B24" s="70"/>
      <c r="C24" s="70" t="s">
        <v>29</v>
      </c>
      <c r="D24" s="70">
        <v>1.7</v>
      </c>
      <c r="E24" s="70">
        <v>0.17</v>
      </c>
      <c r="F24" s="70">
        <v>0</v>
      </c>
      <c r="G24" s="70">
        <v>1321</v>
      </c>
      <c r="H24" s="70">
        <v>1.03</v>
      </c>
      <c r="I24" s="70">
        <v>0</v>
      </c>
      <c r="J24" s="70">
        <v>1</v>
      </c>
      <c r="K24" s="70">
        <v>0</v>
      </c>
      <c r="L24" s="70">
        <v>0</v>
      </c>
      <c r="M24" s="70">
        <v>80</v>
      </c>
      <c r="N24" s="70">
        <v>0</v>
      </c>
      <c r="O24" s="70">
        <v>20</v>
      </c>
      <c r="P24" s="70">
        <v>0</v>
      </c>
      <c r="Q24" s="68"/>
      <c r="R24" s="69"/>
      <c r="S24" s="69"/>
      <c r="T24" s="69"/>
    </row>
    <row r="25" spans="1:20">
      <c r="A25" s="70">
        <v>21</v>
      </c>
      <c r="B25" s="70"/>
      <c r="C25" s="70" t="s">
        <v>233</v>
      </c>
      <c r="D25" s="70">
        <v>1.7</v>
      </c>
      <c r="E25" s="70">
        <v>0.17</v>
      </c>
      <c r="F25" s="70">
        <v>0</v>
      </c>
      <c r="G25" s="70">
        <v>2314</v>
      </c>
      <c r="H25" s="70">
        <v>1.03</v>
      </c>
      <c r="I25" s="70">
        <v>0</v>
      </c>
      <c r="J25" s="70">
        <v>2</v>
      </c>
      <c r="K25" s="70">
        <v>0</v>
      </c>
      <c r="L25" s="70">
        <v>0</v>
      </c>
      <c r="M25" s="70">
        <v>80</v>
      </c>
      <c r="N25" s="70">
        <v>0</v>
      </c>
      <c r="O25" s="70">
        <v>20</v>
      </c>
      <c r="P25" s="70">
        <v>0</v>
      </c>
      <c r="Q25" s="68"/>
      <c r="R25" s="69"/>
      <c r="S25" s="69"/>
      <c r="T25" s="69"/>
    </row>
    <row r="26" spans="1:20">
      <c r="A26" s="70">
        <v>22</v>
      </c>
      <c r="B26" s="70"/>
      <c r="C26" s="70" t="s">
        <v>234</v>
      </c>
      <c r="D26" s="70">
        <v>1.7</v>
      </c>
      <c r="E26" s="70">
        <v>0.17</v>
      </c>
      <c r="F26" s="70">
        <v>0</v>
      </c>
      <c r="G26" s="70">
        <v>2465</v>
      </c>
      <c r="H26" s="70">
        <v>1.03</v>
      </c>
      <c r="I26" s="70">
        <v>0</v>
      </c>
      <c r="J26" s="70">
        <v>2</v>
      </c>
      <c r="K26" s="70">
        <v>0</v>
      </c>
      <c r="L26" s="70">
        <v>0</v>
      </c>
      <c r="M26" s="70">
        <v>80</v>
      </c>
      <c r="N26" s="70">
        <v>0</v>
      </c>
      <c r="O26" s="70">
        <v>20</v>
      </c>
      <c r="P26" s="70">
        <v>0</v>
      </c>
      <c r="Q26" s="68"/>
      <c r="R26" s="69"/>
      <c r="S26" s="69"/>
      <c r="T26" s="69"/>
    </row>
    <row r="27" spans="1:20">
      <c r="A27" s="70">
        <v>23</v>
      </c>
      <c r="B27" s="70"/>
      <c r="C27" s="70" t="s">
        <v>235</v>
      </c>
      <c r="D27" s="70">
        <v>1.7</v>
      </c>
      <c r="E27" s="70">
        <v>0.17</v>
      </c>
      <c r="F27" s="70">
        <v>0</v>
      </c>
      <c r="G27" s="70">
        <v>2444</v>
      </c>
      <c r="H27" s="70">
        <v>1.03</v>
      </c>
      <c r="I27" s="70">
        <v>0</v>
      </c>
      <c r="J27" s="70">
        <v>2</v>
      </c>
      <c r="K27" s="70">
        <v>0</v>
      </c>
      <c r="L27" s="70">
        <v>0</v>
      </c>
      <c r="M27" s="70">
        <v>80</v>
      </c>
      <c r="N27" s="70">
        <v>0</v>
      </c>
      <c r="O27" s="70">
        <v>20</v>
      </c>
      <c r="P27" s="70">
        <v>0</v>
      </c>
      <c r="Q27" s="68"/>
      <c r="R27" s="69"/>
      <c r="S27" s="69"/>
      <c r="T27" s="69"/>
    </row>
    <row r="28" spans="1:20">
      <c r="A28" s="70">
        <v>24</v>
      </c>
      <c r="B28" s="70"/>
      <c r="C28" s="70" t="s">
        <v>236</v>
      </c>
      <c r="D28" s="70">
        <v>1.7</v>
      </c>
      <c r="E28" s="70">
        <v>0.19</v>
      </c>
      <c r="F28" s="70">
        <v>0</v>
      </c>
      <c r="G28" s="70">
        <v>2415</v>
      </c>
      <c r="H28" s="70">
        <v>1.03</v>
      </c>
      <c r="I28" s="70">
        <v>0</v>
      </c>
      <c r="J28" s="70">
        <v>4</v>
      </c>
      <c r="K28" s="70">
        <v>0</v>
      </c>
      <c r="L28" s="70">
        <v>0</v>
      </c>
      <c r="M28" s="70">
        <v>80</v>
      </c>
      <c r="N28" s="70">
        <v>0</v>
      </c>
      <c r="O28" s="70">
        <v>20</v>
      </c>
      <c r="P28" s="70">
        <v>0</v>
      </c>
      <c r="Q28" s="68"/>
      <c r="R28" s="69"/>
      <c r="S28" s="69"/>
      <c r="T28" s="69"/>
    </row>
    <row r="29" spans="1:20">
      <c r="A29" s="70">
        <v>25</v>
      </c>
      <c r="B29" s="70"/>
      <c r="C29" s="70" t="s">
        <v>30</v>
      </c>
      <c r="D29" s="70">
        <v>1.7</v>
      </c>
      <c r="E29" s="70">
        <v>8.8999999999999996E-2</v>
      </c>
      <c r="F29" s="70">
        <v>0</v>
      </c>
      <c r="G29" s="70">
        <v>2366</v>
      </c>
      <c r="H29" s="70">
        <v>1.05</v>
      </c>
      <c r="I29" s="70">
        <v>0</v>
      </c>
      <c r="J29" s="70">
        <v>5</v>
      </c>
      <c r="K29" s="70">
        <v>0</v>
      </c>
      <c r="L29" s="70">
        <v>0</v>
      </c>
      <c r="M29" s="70">
        <v>80</v>
      </c>
      <c r="N29" s="70">
        <v>0</v>
      </c>
      <c r="O29" s="70">
        <v>20</v>
      </c>
      <c r="P29" s="70">
        <v>0</v>
      </c>
      <c r="Q29" s="68"/>
      <c r="R29" s="69"/>
      <c r="S29" s="69"/>
      <c r="T29" s="69"/>
    </row>
    <row r="30" spans="1:20">
      <c r="A30" s="70">
        <v>26</v>
      </c>
      <c r="B30" s="70"/>
      <c r="C30" s="70" t="s">
        <v>31</v>
      </c>
      <c r="D30" s="70">
        <v>1.7</v>
      </c>
      <c r="E30" s="70">
        <v>0.12</v>
      </c>
      <c r="F30" s="70">
        <v>0</v>
      </c>
      <c r="G30" s="70">
        <v>2353</v>
      </c>
      <c r="H30" s="70">
        <v>1.05</v>
      </c>
      <c r="I30" s="70">
        <v>0</v>
      </c>
      <c r="J30" s="70">
        <v>0</v>
      </c>
      <c r="K30" s="70">
        <v>0</v>
      </c>
      <c r="L30" s="70">
        <v>0</v>
      </c>
      <c r="M30" s="70">
        <v>80</v>
      </c>
      <c r="N30" s="70">
        <v>0</v>
      </c>
      <c r="O30" s="70">
        <v>20</v>
      </c>
      <c r="P30" s="70">
        <v>0</v>
      </c>
      <c r="Q30" s="68"/>
      <c r="R30" s="69"/>
      <c r="S30" s="69"/>
      <c r="T30" s="69"/>
    </row>
    <row r="31" spans="1:20">
      <c r="A31" s="70">
        <v>27</v>
      </c>
      <c r="B31" s="70"/>
      <c r="C31" s="70" t="s">
        <v>32</v>
      </c>
      <c r="D31" s="70">
        <v>1.7</v>
      </c>
      <c r="E31" s="70">
        <v>0.14000000000000001</v>
      </c>
      <c r="F31" s="70">
        <v>0</v>
      </c>
      <c r="G31" s="70">
        <v>2363</v>
      </c>
      <c r="H31" s="70">
        <v>1.05</v>
      </c>
      <c r="I31" s="70">
        <v>0</v>
      </c>
      <c r="J31" s="70">
        <v>0</v>
      </c>
      <c r="K31" s="70">
        <v>0</v>
      </c>
      <c r="L31" s="70">
        <v>0</v>
      </c>
      <c r="M31" s="70">
        <v>80</v>
      </c>
      <c r="N31" s="70">
        <v>0</v>
      </c>
      <c r="O31" s="70">
        <v>20</v>
      </c>
      <c r="P31" s="70">
        <v>0</v>
      </c>
      <c r="Q31" s="68"/>
      <c r="R31" s="69"/>
      <c r="S31" s="69"/>
      <c r="T31" s="69"/>
    </row>
    <row r="32" spans="1:20">
      <c r="A32" s="70">
        <v>28</v>
      </c>
      <c r="B32" s="70"/>
      <c r="C32" s="70" t="s">
        <v>34</v>
      </c>
      <c r="D32" s="70">
        <v>1.7</v>
      </c>
      <c r="E32" s="70">
        <v>0.15</v>
      </c>
      <c r="F32" s="70">
        <v>0</v>
      </c>
      <c r="G32" s="70">
        <v>2297</v>
      </c>
      <c r="H32" s="70">
        <v>1.05</v>
      </c>
      <c r="I32" s="70">
        <v>0</v>
      </c>
      <c r="J32" s="70">
        <v>0</v>
      </c>
      <c r="K32" s="70">
        <v>0</v>
      </c>
      <c r="L32" s="70">
        <v>0</v>
      </c>
      <c r="M32" s="70">
        <v>80</v>
      </c>
      <c r="N32" s="70">
        <v>0</v>
      </c>
      <c r="O32" s="70">
        <v>20</v>
      </c>
      <c r="P32" s="70">
        <v>0</v>
      </c>
      <c r="Q32" s="68"/>
      <c r="R32" s="69"/>
      <c r="S32" s="69"/>
      <c r="T32" s="69"/>
    </row>
    <row r="33" spans="1:21">
      <c r="A33" s="70">
        <v>29</v>
      </c>
      <c r="B33" s="70"/>
      <c r="C33" s="70" t="s">
        <v>33</v>
      </c>
      <c r="D33" s="70">
        <v>1.7</v>
      </c>
      <c r="E33" s="70">
        <v>0.15</v>
      </c>
      <c r="F33" s="70">
        <v>0</v>
      </c>
      <c r="G33" s="70">
        <v>2375</v>
      </c>
      <c r="H33" s="70">
        <v>1.05</v>
      </c>
      <c r="I33" s="70">
        <v>0</v>
      </c>
      <c r="J33" s="70">
        <v>0</v>
      </c>
      <c r="K33" s="70">
        <v>0</v>
      </c>
      <c r="L33" s="70">
        <v>0</v>
      </c>
      <c r="M33" s="70">
        <v>80</v>
      </c>
      <c r="N33" s="70">
        <v>0</v>
      </c>
      <c r="O33" s="70">
        <v>20</v>
      </c>
      <c r="P33" s="70">
        <v>0</v>
      </c>
      <c r="Q33" s="68"/>
      <c r="R33" s="69"/>
      <c r="S33" s="69"/>
      <c r="T33" s="69"/>
    </row>
    <row r="34" spans="1:21">
      <c r="A34" s="70">
        <v>30</v>
      </c>
      <c r="B34" s="70"/>
      <c r="C34" s="70" t="s">
        <v>35</v>
      </c>
      <c r="D34" s="70">
        <v>0.79</v>
      </c>
      <c r="E34" s="70">
        <v>7.0000000000000001E-3</v>
      </c>
      <c r="F34" s="70">
        <v>0</v>
      </c>
      <c r="G34" s="70">
        <v>1500</v>
      </c>
      <c r="H34" s="70">
        <v>1.05</v>
      </c>
      <c r="I34" s="70">
        <v>0</v>
      </c>
      <c r="J34" s="70">
        <v>0</v>
      </c>
      <c r="K34" s="70">
        <v>0</v>
      </c>
      <c r="L34" s="70">
        <v>0</v>
      </c>
      <c r="M34" s="70">
        <v>80</v>
      </c>
      <c r="N34" s="70">
        <v>0</v>
      </c>
      <c r="O34" s="70">
        <v>20</v>
      </c>
      <c r="P34" s="70">
        <v>0</v>
      </c>
      <c r="Q34" s="68"/>
      <c r="R34" s="69"/>
      <c r="S34" s="69"/>
      <c r="T34" s="69"/>
    </row>
    <row r="35" spans="1:21">
      <c r="A35" s="70">
        <v>31</v>
      </c>
      <c r="B35" s="70" t="s">
        <v>36</v>
      </c>
      <c r="C35" s="70" t="s">
        <v>37</v>
      </c>
      <c r="D35" s="70">
        <v>0.14000000000000001</v>
      </c>
      <c r="E35" s="70">
        <v>0.47</v>
      </c>
      <c r="F35" s="70">
        <v>-1.6</v>
      </c>
      <c r="G35" s="70">
        <v>700</v>
      </c>
      <c r="H35" s="70">
        <v>1.05</v>
      </c>
      <c r="I35" s="70">
        <v>91</v>
      </c>
      <c r="J35" s="70">
        <v>0</v>
      </c>
      <c r="K35" s="70">
        <v>0</v>
      </c>
      <c r="L35" s="70">
        <v>0</v>
      </c>
      <c r="M35" s="70">
        <v>0</v>
      </c>
      <c r="N35" s="70">
        <v>100</v>
      </c>
      <c r="O35" s="70">
        <v>0</v>
      </c>
      <c r="P35" s="70">
        <v>0</v>
      </c>
      <c r="Q35" s="68"/>
      <c r="R35" s="69"/>
      <c r="S35" s="69"/>
      <c r="T35" s="69"/>
    </row>
    <row r="36" spans="1:21">
      <c r="A36" s="70">
        <v>32</v>
      </c>
      <c r="B36" s="70"/>
      <c r="C36" s="70" t="s">
        <v>38</v>
      </c>
      <c r="D36" s="70">
        <v>0.14000000000000001</v>
      </c>
      <c r="E36" s="70">
        <v>0.66</v>
      </c>
      <c r="F36" s="70">
        <v>-1.5</v>
      </c>
      <c r="G36" s="70">
        <v>720</v>
      </c>
      <c r="H36" s="70">
        <v>1.05</v>
      </c>
      <c r="I36" s="70">
        <v>89</v>
      </c>
      <c r="J36" s="70">
        <v>0</v>
      </c>
      <c r="K36" s="70">
        <v>0</v>
      </c>
      <c r="L36" s="70">
        <v>0</v>
      </c>
      <c r="M36" s="70">
        <v>0</v>
      </c>
      <c r="N36" s="70">
        <v>100</v>
      </c>
      <c r="O36" s="70">
        <v>0</v>
      </c>
      <c r="P36" s="70">
        <v>0</v>
      </c>
      <c r="Q36" s="68"/>
      <c r="R36" s="69"/>
      <c r="S36" s="69"/>
      <c r="T36" s="69"/>
    </row>
    <row r="37" spans="1:21">
      <c r="A37" s="70">
        <v>33</v>
      </c>
      <c r="B37" s="70"/>
      <c r="C37" s="70" t="s">
        <v>39</v>
      </c>
      <c r="D37" s="70">
        <v>0.6</v>
      </c>
      <c r="E37" s="70">
        <v>1.1499999999999999</v>
      </c>
      <c r="F37" s="70">
        <v>0</v>
      </c>
      <c r="G37" s="70">
        <v>1300</v>
      </c>
      <c r="H37" s="70">
        <v>1.05</v>
      </c>
      <c r="I37" s="70">
        <v>5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v>100</v>
      </c>
      <c r="P37" s="70">
        <v>0</v>
      </c>
      <c r="Q37" s="68"/>
      <c r="R37" s="69"/>
      <c r="S37" s="69"/>
      <c r="T37" s="69"/>
    </row>
    <row r="38" spans="1:21">
      <c r="A38" s="70">
        <v>34</v>
      </c>
      <c r="B38" s="70"/>
      <c r="C38" s="70" t="s">
        <v>40</v>
      </c>
      <c r="D38" s="70">
        <v>0.18</v>
      </c>
      <c r="E38" s="70">
        <v>0.25</v>
      </c>
      <c r="F38" s="70">
        <v>-1.7</v>
      </c>
      <c r="G38" s="70">
        <v>900</v>
      </c>
      <c r="H38" s="70">
        <v>1.05</v>
      </c>
      <c r="I38" s="70">
        <v>98</v>
      </c>
      <c r="J38" s="70">
        <v>93</v>
      </c>
      <c r="K38" s="70">
        <v>0</v>
      </c>
      <c r="L38" s="70">
        <v>0</v>
      </c>
      <c r="M38" s="70">
        <v>0</v>
      </c>
      <c r="N38" s="70">
        <v>100</v>
      </c>
      <c r="O38" s="70">
        <v>0</v>
      </c>
      <c r="P38" s="70">
        <v>0</v>
      </c>
      <c r="Q38" s="68"/>
      <c r="R38" s="69"/>
      <c r="S38" s="69"/>
      <c r="T38" s="69"/>
    </row>
    <row r="39" spans="1:21">
      <c r="A39" s="70">
        <v>35</v>
      </c>
      <c r="B39" s="70"/>
      <c r="C39" s="70" t="s">
        <v>41</v>
      </c>
      <c r="D39" s="70">
        <v>0.14000000000000001</v>
      </c>
      <c r="E39" s="70">
        <v>0.6</v>
      </c>
      <c r="F39" s="70">
        <v>-1.4</v>
      </c>
      <c r="G39" s="70">
        <v>720</v>
      </c>
      <c r="H39" s="70">
        <v>1.05</v>
      </c>
      <c r="I39" s="70">
        <v>80</v>
      </c>
      <c r="J39" s="70">
        <v>0</v>
      </c>
      <c r="K39" s="70">
        <v>0</v>
      </c>
      <c r="L39" s="70">
        <v>0</v>
      </c>
      <c r="M39" s="70">
        <v>0</v>
      </c>
      <c r="N39" s="70">
        <v>100</v>
      </c>
      <c r="O39" s="70">
        <v>0</v>
      </c>
      <c r="P39" s="70">
        <v>0</v>
      </c>
      <c r="Q39" s="68"/>
      <c r="R39" s="69"/>
      <c r="S39" s="69"/>
      <c r="T39" s="69"/>
    </row>
    <row r="40" spans="1:21">
      <c r="A40" s="70">
        <v>36</v>
      </c>
      <c r="B40" s="70"/>
      <c r="C40" s="70" t="s">
        <v>42</v>
      </c>
      <c r="D40" s="70">
        <v>0.14000000000000001</v>
      </c>
      <c r="E40" s="70">
        <v>0.96</v>
      </c>
      <c r="F40" s="70">
        <v>-1.4</v>
      </c>
      <c r="G40" s="70">
        <v>720</v>
      </c>
      <c r="H40" s="70">
        <v>1.05</v>
      </c>
      <c r="I40" s="70">
        <v>80</v>
      </c>
      <c r="J40" s="70">
        <v>0</v>
      </c>
      <c r="K40" s="70">
        <v>0</v>
      </c>
      <c r="L40" s="70">
        <v>0</v>
      </c>
      <c r="M40" s="70">
        <v>0</v>
      </c>
      <c r="N40" s="70">
        <v>100</v>
      </c>
      <c r="O40" s="70">
        <v>0</v>
      </c>
      <c r="P40" s="70">
        <v>0</v>
      </c>
      <c r="Q40" s="68"/>
      <c r="R40" s="69"/>
      <c r="S40" s="69"/>
      <c r="T40" s="69"/>
    </row>
    <row r="41" spans="1:21">
      <c r="A41" s="70">
        <v>37</v>
      </c>
      <c r="B41" s="70"/>
      <c r="C41" s="70" t="s">
        <v>43</v>
      </c>
      <c r="D41" s="70">
        <v>7.0000000000000007E-2</v>
      </c>
      <c r="E41" s="70">
        <v>0.36</v>
      </c>
      <c r="F41" s="70">
        <v>-1.4</v>
      </c>
      <c r="G41" s="70">
        <v>250</v>
      </c>
      <c r="H41" s="70">
        <v>1.05</v>
      </c>
      <c r="I41" s="70">
        <v>70</v>
      </c>
      <c r="J41" s="70">
        <v>0</v>
      </c>
      <c r="K41" s="70">
        <v>0</v>
      </c>
      <c r="L41" s="70">
        <v>0</v>
      </c>
      <c r="M41" s="70">
        <v>0</v>
      </c>
      <c r="N41" s="70">
        <v>100</v>
      </c>
      <c r="O41" s="70">
        <v>0</v>
      </c>
      <c r="P41" s="70">
        <v>0</v>
      </c>
      <c r="Q41" s="68"/>
      <c r="R41" s="69"/>
      <c r="S41" s="69"/>
      <c r="T41" s="69"/>
    </row>
    <row r="42" spans="1:21">
      <c r="A42" s="70">
        <v>38</v>
      </c>
      <c r="B42" s="70"/>
      <c r="C42" s="70" t="s">
        <v>44</v>
      </c>
      <c r="D42" s="70">
        <v>0.21</v>
      </c>
      <c r="E42" s="70">
        <v>0.31</v>
      </c>
      <c r="F42" s="70">
        <v>0</v>
      </c>
      <c r="G42" s="70">
        <v>670</v>
      </c>
      <c r="H42" s="70">
        <v>1.05</v>
      </c>
      <c r="I42" s="70">
        <v>0</v>
      </c>
      <c r="J42" s="70">
        <v>20</v>
      </c>
      <c r="K42" s="70">
        <v>0</v>
      </c>
      <c r="L42" s="70">
        <v>0</v>
      </c>
      <c r="M42" s="70">
        <v>15</v>
      </c>
      <c r="N42" s="70">
        <v>0</v>
      </c>
      <c r="O42" s="70">
        <v>85</v>
      </c>
      <c r="P42" s="70">
        <v>0</v>
      </c>
      <c r="Q42" s="68"/>
      <c r="R42" s="69"/>
      <c r="S42" s="69"/>
      <c r="T42" s="69"/>
    </row>
    <row r="43" spans="1:21">
      <c r="A43" s="70">
        <v>39</v>
      </c>
      <c r="B43" s="70"/>
      <c r="C43" s="70" t="s">
        <v>45</v>
      </c>
      <c r="D43" s="70">
        <v>0.25</v>
      </c>
      <c r="E43" s="70">
        <v>0.28000000000000003</v>
      </c>
      <c r="F43" s="70">
        <v>0</v>
      </c>
      <c r="G43" s="70">
        <v>875</v>
      </c>
      <c r="H43" s="70">
        <v>1.05</v>
      </c>
      <c r="I43" s="70">
        <v>0</v>
      </c>
      <c r="J43" s="70">
        <v>20</v>
      </c>
      <c r="K43" s="70">
        <v>0</v>
      </c>
      <c r="L43" s="70">
        <v>0</v>
      </c>
      <c r="M43" s="70">
        <v>15</v>
      </c>
      <c r="N43" s="70">
        <v>0</v>
      </c>
      <c r="O43" s="70">
        <v>85</v>
      </c>
      <c r="P43" s="70">
        <v>0</v>
      </c>
      <c r="Q43" s="68"/>
      <c r="R43" s="69"/>
      <c r="S43" s="69"/>
      <c r="T43" s="69"/>
    </row>
    <row r="44" spans="1:21">
      <c r="A44" s="70">
        <v>40</v>
      </c>
      <c r="B44" s="70"/>
      <c r="C44" s="70" t="s">
        <v>46</v>
      </c>
      <c r="D44" s="70">
        <v>0.22</v>
      </c>
      <c r="E44" s="70">
        <v>0.35</v>
      </c>
      <c r="F44" s="70">
        <v>0</v>
      </c>
      <c r="G44" s="70">
        <v>745</v>
      </c>
      <c r="H44" s="70">
        <v>1.05</v>
      </c>
      <c r="I44" s="70">
        <v>0</v>
      </c>
      <c r="J44" s="70">
        <v>20</v>
      </c>
      <c r="K44" s="70">
        <v>0</v>
      </c>
      <c r="L44" s="70">
        <v>0</v>
      </c>
      <c r="M44" s="70">
        <v>15</v>
      </c>
      <c r="N44" s="70">
        <v>0</v>
      </c>
      <c r="O44" s="70">
        <v>85</v>
      </c>
      <c r="P44" s="70">
        <v>0</v>
      </c>
      <c r="Q44" s="68"/>
      <c r="R44" s="69"/>
      <c r="S44" s="69"/>
      <c r="T44" s="69"/>
    </row>
    <row r="45" spans="1:21">
      <c r="A45" s="70">
        <v>41</v>
      </c>
      <c r="B45" s="70"/>
      <c r="C45" s="70" t="s">
        <v>47</v>
      </c>
      <c r="D45" s="70">
        <v>0.13</v>
      </c>
      <c r="E45" s="70">
        <v>0.42</v>
      </c>
      <c r="F45" s="70">
        <v>-1.5</v>
      </c>
      <c r="G45" s="70">
        <v>610</v>
      </c>
      <c r="H45" s="70">
        <v>1.05</v>
      </c>
      <c r="I45" s="70">
        <v>90</v>
      </c>
      <c r="J45" s="70">
        <v>0</v>
      </c>
      <c r="K45" s="70">
        <v>0</v>
      </c>
      <c r="L45" s="70">
        <v>0</v>
      </c>
      <c r="M45" s="70">
        <v>0</v>
      </c>
      <c r="N45" s="70">
        <v>100</v>
      </c>
      <c r="O45" s="70">
        <v>0</v>
      </c>
      <c r="P45" s="70">
        <v>0</v>
      </c>
      <c r="Q45" s="68"/>
      <c r="R45" s="69"/>
      <c r="S45" s="69"/>
      <c r="T45" s="69"/>
    </row>
    <row r="46" spans="1:21">
      <c r="A46" s="70">
        <v>42</v>
      </c>
      <c r="B46" s="70"/>
      <c r="C46" s="70" t="s">
        <v>48</v>
      </c>
      <c r="D46" s="70">
        <v>0.17</v>
      </c>
      <c r="E46" s="70">
        <v>0.66</v>
      </c>
      <c r="F46" s="70">
        <v>-1.5</v>
      </c>
      <c r="G46" s="70">
        <v>680</v>
      </c>
      <c r="H46" s="70">
        <v>1.05</v>
      </c>
      <c r="I46" s="70">
        <v>81</v>
      </c>
      <c r="J46" s="70">
        <v>0</v>
      </c>
      <c r="K46" s="70">
        <v>0</v>
      </c>
      <c r="L46" s="70">
        <v>0</v>
      </c>
      <c r="M46" s="70">
        <v>0</v>
      </c>
      <c r="N46" s="70">
        <v>100</v>
      </c>
      <c r="O46" s="70">
        <v>0</v>
      </c>
      <c r="P46" s="70">
        <v>0</v>
      </c>
      <c r="Q46" s="68"/>
      <c r="R46" s="69"/>
      <c r="S46" s="69"/>
      <c r="T46" s="69"/>
      <c r="U46" s="20" t="s">
        <v>296</v>
      </c>
    </row>
    <row r="47" spans="1:21">
      <c r="A47" s="70">
        <v>43</v>
      </c>
      <c r="B47" s="70"/>
      <c r="C47" s="70" t="s">
        <v>48</v>
      </c>
      <c r="D47" s="70">
        <v>0.17</v>
      </c>
      <c r="E47" s="70">
        <v>0.48</v>
      </c>
      <c r="F47" s="70">
        <v>-1.6</v>
      </c>
      <c r="G47" s="70">
        <v>680</v>
      </c>
      <c r="H47" s="70">
        <v>1.05</v>
      </c>
      <c r="I47" s="70">
        <v>86</v>
      </c>
      <c r="J47" s="70">
        <v>0</v>
      </c>
      <c r="K47" s="70">
        <v>0</v>
      </c>
      <c r="L47" s="70">
        <v>0</v>
      </c>
      <c r="M47" s="70">
        <v>0</v>
      </c>
      <c r="N47" s="70">
        <v>100</v>
      </c>
      <c r="O47" s="70">
        <v>0</v>
      </c>
      <c r="P47" s="70">
        <v>0</v>
      </c>
      <c r="Q47" s="68"/>
      <c r="R47" s="69"/>
      <c r="S47" s="69"/>
      <c r="T47" s="69"/>
    </row>
    <row r="48" spans="1:21">
      <c r="A48" s="70">
        <v>44</v>
      </c>
      <c r="B48" s="70"/>
      <c r="C48" s="70" t="s">
        <v>49</v>
      </c>
      <c r="D48" s="70">
        <v>0.13</v>
      </c>
      <c r="E48" s="70">
        <v>0.48</v>
      </c>
      <c r="F48" s="70">
        <v>-1.5</v>
      </c>
      <c r="G48" s="70">
        <v>480</v>
      </c>
      <c r="H48" s="70">
        <v>1.05</v>
      </c>
      <c r="I48" s="70">
        <v>81</v>
      </c>
      <c r="J48" s="70">
        <v>0</v>
      </c>
      <c r="K48" s="70">
        <v>0</v>
      </c>
      <c r="L48" s="70">
        <v>0</v>
      </c>
      <c r="M48" s="70">
        <v>0</v>
      </c>
      <c r="N48" s="70">
        <v>100</v>
      </c>
      <c r="O48" s="70">
        <v>0</v>
      </c>
      <c r="P48" s="70">
        <v>0</v>
      </c>
      <c r="Q48" s="68"/>
      <c r="R48" s="69"/>
      <c r="S48" s="69"/>
      <c r="T48" s="69"/>
    </row>
    <row r="49" spans="1:20">
      <c r="A49" s="70">
        <v>45</v>
      </c>
      <c r="B49" s="70"/>
      <c r="C49" s="70" t="s">
        <v>49</v>
      </c>
      <c r="D49" s="70">
        <v>0.13</v>
      </c>
      <c r="E49" s="70">
        <v>0.66</v>
      </c>
      <c r="F49" s="70">
        <v>-1.6</v>
      </c>
      <c r="G49" s="70">
        <v>480</v>
      </c>
      <c r="H49" s="70">
        <v>1.05</v>
      </c>
      <c r="I49" s="70">
        <v>86</v>
      </c>
      <c r="J49" s="70">
        <v>0</v>
      </c>
      <c r="K49" s="70">
        <v>0</v>
      </c>
      <c r="L49" s="70">
        <v>0</v>
      </c>
      <c r="M49" s="70">
        <v>0</v>
      </c>
      <c r="N49" s="70">
        <v>100</v>
      </c>
      <c r="O49" s="70">
        <v>0</v>
      </c>
      <c r="P49" s="70">
        <v>0</v>
      </c>
      <c r="Q49" s="68"/>
      <c r="R49" s="69"/>
      <c r="S49" s="69"/>
      <c r="T49" s="69"/>
    </row>
    <row r="50" spans="1:20">
      <c r="A50" s="70">
        <v>46</v>
      </c>
      <c r="B50" s="70" t="s">
        <v>50</v>
      </c>
      <c r="C50" s="70" t="s">
        <v>51</v>
      </c>
      <c r="D50" s="70">
        <v>0.16</v>
      </c>
      <c r="E50" s="70">
        <v>0.43</v>
      </c>
      <c r="F50" s="70">
        <v>0</v>
      </c>
      <c r="G50" s="70">
        <v>338</v>
      </c>
      <c r="H50" s="70">
        <v>1.05</v>
      </c>
      <c r="I50" s="70">
        <v>0</v>
      </c>
      <c r="J50" s="70">
        <v>0</v>
      </c>
      <c r="K50" s="70">
        <v>0</v>
      </c>
      <c r="L50" s="70">
        <v>0</v>
      </c>
      <c r="M50" s="70">
        <v>92</v>
      </c>
      <c r="N50" s="70">
        <v>0</v>
      </c>
      <c r="O50" s="70">
        <v>0</v>
      </c>
      <c r="P50" s="70">
        <v>0</v>
      </c>
      <c r="Q50" s="68"/>
      <c r="R50" s="69"/>
      <c r="S50" s="69"/>
      <c r="T50" s="69"/>
    </row>
    <row r="51" spans="1:20">
      <c r="A51" s="70">
        <v>47</v>
      </c>
      <c r="B51" s="70"/>
      <c r="C51" s="70" t="s">
        <v>52</v>
      </c>
      <c r="D51" s="70">
        <v>0.16</v>
      </c>
      <c r="E51" s="70">
        <v>0.41</v>
      </c>
      <c r="F51" s="70">
        <v>0</v>
      </c>
      <c r="G51" s="70">
        <v>450</v>
      </c>
      <c r="H51" s="70">
        <v>1.05</v>
      </c>
      <c r="I51" s="70">
        <v>0</v>
      </c>
      <c r="J51" s="70">
        <v>0</v>
      </c>
      <c r="K51" s="70">
        <v>0</v>
      </c>
      <c r="L51" s="70">
        <v>0</v>
      </c>
      <c r="M51" s="70">
        <v>92</v>
      </c>
      <c r="N51" s="70">
        <v>0</v>
      </c>
      <c r="O51" s="70">
        <v>0</v>
      </c>
      <c r="P51" s="70">
        <v>0</v>
      </c>
      <c r="Q51" s="68"/>
      <c r="R51" s="69"/>
      <c r="S51" s="69"/>
      <c r="T51" s="69"/>
    </row>
    <row r="52" spans="1:20">
      <c r="A52" s="70">
        <v>48</v>
      </c>
      <c r="B52" s="70"/>
      <c r="C52" s="70" t="s">
        <v>53</v>
      </c>
      <c r="D52" s="70">
        <v>0.13</v>
      </c>
      <c r="E52" s="70">
        <v>0.42</v>
      </c>
      <c r="F52" s="70">
        <v>0</v>
      </c>
      <c r="G52" s="70">
        <v>525</v>
      </c>
      <c r="H52" s="70">
        <v>1.05</v>
      </c>
      <c r="I52" s="70">
        <v>0</v>
      </c>
      <c r="J52" s="70">
        <v>0</v>
      </c>
      <c r="K52" s="70">
        <v>0</v>
      </c>
      <c r="L52" s="70">
        <v>0</v>
      </c>
      <c r="M52" s="70">
        <v>92</v>
      </c>
      <c r="N52" s="70">
        <v>0</v>
      </c>
      <c r="O52" s="70">
        <v>0</v>
      </c>
      <c r="P52" s="70">
        <v>0</v>
      </c>
      <c r="Q52" s="68"/>
      <c r="R52" s="69"/>
      <c r="S52" s="69"/>
      <c r="T52" s="69"/>
    </row>
    <row r="53" spans="1:20">
      <c r="A53" s="70">
        <v>49</v>
      </c>
      <c r="B53" s="70"/>
      <c r="C53" s="70" t="s">
        <v>360</v>
      </c>
      <c r="D53" s="70">
        <v>0.4</v>
      </c>
      <c r="E53" s="70">
        <v>0.20399999999999999</v>
      </c>
      <c r="F53" s="70">
        <v>0</v>
      </c>
      <c r="G53" s="70">
        <v>1502</v>
      </c>
      <c r="H53" s="70">
        <v>1.05</v>
      </c>
      <c r="I53" s="70">
        <v>1.5</v>
      </c>
      <c r="J53" s="70">
        <v>0</v>
      </c>
      <c r="K53" s="70">
        <v>0</v>
      </c>
      <c r="L53" s="70">
        <v>0</v>
      </c>
      <c r="M53" s="70">
        <v>47</v>
      </c>
      <c r="N53" s="70">
        <v>0</v>
      </c>
      <c r="O53" s="70">
        <v>53</v>
      </c>
      <c r="P53" s="70">
        <v>0</v>
      </c>
      <c r="Q53" s="68"/>
      <c r="R53" s="69"/>
      <c r="S53" s="69"/>
      <c r="T53" s="69"/>
    </row>
    <row r="54" spans="1:20">
      <c r="A54" s="70">
        <v>50</v>
      </c>
      <c r="B54" s="70"/>
      <c r="C54" s="70" t="s">
        <v>72</v>
      </c>
      <c r="D54" s="70">
        <v>0.75</v>
      </c>
      <c r="E54" s="70">
        <v>0.16</v>
      </c>
      <c r="F54" s="70">
        <v>0</v>
      </c>
      <c r="G54" s="70">
        <v>1620</v>
      </c>
      <c r="H54" s="70">
        <v>1.05</v>
      </c>
      <c r="I54" s="70">
        <v>0</v>
      </c>
      <c r="J54" s="70">
        <v>0</v>
      </c>
      <c r="K54" s="70">
        <v>0</v>
      </c>
      <c r="L54" s="70">
        <v>0</v>
      </c>
      <c r="M54" s="70">
        <v>100</v>
      </c>
      <c r="N54" s="70">
        <v>0</v>
      </c>
      <c r="O54" s="70">
        <v>0</v>
      </c>
      <c r="P54" s="70">
        <v>0</v>
      </c>
      <c r="Q54" s="68"/>
      <c r="R54" s="69"/>
      <c r="S54" s="69"/>
      <c r="T54" s="69"/>
    </row>
    <row r="55" spans="1:20">
      <c r="A55" s="70">
        <v>51</v>
      </c>
      <c r="B55" s="70"/>
      <c r="C55" s="70" t="s">
        <v>73</v>
      </c>
      <c r="D55" s="70">
        <v>1</v>
      </c>
      <c r="E55" s="70">
        <v>0.28000000000000003</v>
      </c>
      <c r="F55" s="70">
        <v>0</v>
      </c>
      <c r="G55" s="70">
        <v>1600</v>
      </c>
      <c r="H55" s="70">
        <v>1.1000000000000001</v>
      </c>
      <c r="I55" s="70">
        <v>0</v>
      </c>
      <c r="J55" s="70">
        <v>0</v>
      </c>
      <c r="K55" s="70">
        <v>0</v>
      </c>
      <c r="L55" s="70">
        <v>0</v>
      </c>
      <c r="M55" s="70">
        <v>0</v>
      </c>
      <c r="N55" s="70">
        <v>0</v>
      </c>
      <c r="O55" s="70">
        <v>100</v>
      </c>
      <c r="P55" s="70">
        <v>0</v>
      </c>
      <c r="Q55" s="68"/>
      <c r="R55" s="69"/>
      <c r="S55" s="69"/>
      <c r="T55" s="69"/>
    </row>
    <row r="56" spans="1:20">
      <c r="A56" s="70">
        <v>52</v>
      </c>
      <c r="B56" s="70"/>
      <c r="C56" s="70" t="s">
        <v>79</v>
      </c>
      <c r="D56" s="70">
        <v>0.1</v>
      </c>
      <c r="E56" s="70">
        <v>0.36</v>
      </c>
      <c r="F56" s="70">
        <v>0</v>
      </c>
      <c r="G56" s="70">
        <v>250</v>
      </c>
      <c r="H56" s="70">
        <v>1.05</v>
      </c>
      <c r="I56" s="70">
        <v>0</v>
      </c>
      <c r="J56" s="70">
        <v>98</v>
      </c>
      <c r="K56" s="70">
        <v>0</v>
      </c>
      <c r="L56" s="70">
        <v>0</v>
      </c>
      <c r="M56" s="70">
        <v>0</v>
      </c>
      <c r="N56" s="70">
        <v>0</v>
      </c>
      <c r="O56" s="70">
        <v>100</v>
      </c>
      <c r="P56" s="70">
        <v>0</v>
      </c>
      <c r="Q56" s="68"/>
      <c r="R56" s="69"/>
      <c r="S56" s="69"/>
      <c r="T56" s="69"/>
    </row>
    <row r="57" spans="1:20">
      <c r="A57" s="70">
        <v>53</v>
      </c>
      <c r="B57" s="70"/>
      <c r="C57" s="70" t="s">
        <v>361</v>
      </c>
      <c r="D57" s="70"/>
      <c r="E57" s="70">
        <v>0.28999999999999998</v>
      </c>
      <c r="F57" s="70">
        <v>0</v>
      </c>
      <c r="G57" s="70">
        <v>1500</v>
      </c>
      <c r="H57" s="70">
        <v>1.1000000000000001</v>
      </c>
      <c r="I57" s="70">
        <v>0</v>
      </c>
      <c r="J57" s="70">
        <v>0</v>
      </c>
      <c r="K57" s="70">
        <v>0</v>
      </c>
      <c r="L57" s="70">
        <v>0</v>
      </c>
      <c r="M57" s="70">
        <v>0</v>
      </c>
      <c r="N57" s="70">
        <v>0</v>
      </c>
      <c r="O57" s="70">
        <v>100</v>
      </c>
      <c r="P57" s="70">
        <v>0</v>
      </c>
      <c r="Q57" s="68"/>
      <c r="R57" s="69"/>
      <c r="S57" s="69"/>
      <c r="T57" s="69"/>
    </row>
    <row r="58" spans="1:20">
      <c r="A58" s="70">
        <v>54</v>
      </c>
      <c r="B58" s="70" t="s">
        <v>101</v>
      </c>
      <c r="C58" s="70" t="s">
        <v>102</v>
      </c>
      <c r="D58" s="70">
        <v>0.04</v>
      </c>
      <c r="E58" s="70">
        <v>1.02</v>
      </c>
      <c r="F58" s="70">
        <v>-1.1000000000000001</v>
      </c>
      <c r="G58" s="70">
        <v>37</v>
      </c>
      <c r="H58" s="70">
        <v>1.03</v>
      </c>
      <c r="I58" s="70">
        <v>70</v>
      </c>
      <c r="J58" s="70">
        <v>80</v>
      </c>
      <c r="K58" s="70">
        <v>3</v>
      </c>
      <c r="L58" s="70">
        <v>0</v>
      </c>
      <c r="M58" s="70">
        <v>0</v>
      </c>
      <c r="N58" s="70">
        <v>50</v>
      </c>
      <c r="O58" s="70">
        <v>50</v>
      </c>
      <c r="P58" s="70">
        <v>0</v>
      </c>
      <c r="Q58" s="68"/>
      <c r="R58" s="69"/>
      <c r="S58" s="69"/>
      <c r="T58" s="69"/>
    </row>
    <row r="59" spans="1:20">
      <c r="A59" s="70">
        <v>55</v>
      </c>
      <c r="B59" s="70"/>
      <c r="C59" s="70" t="s">
        <v>362</v>
      </c>
      <c r="D59" s="74">
        <f>'Kaavat 1'!Q122</f>
        <v>5.8801600000000002E-2</v>
      </c>
      <c r="E59" s="74">
        <f>'Kaavat 1'!R122</f>
        <v>0.10364799999999999</v>
      </c>
      <c r="F59" s="74">
        <f>'Kaavat 1'!S122</f>
        <v>-1.28704</v>
      </c>
      <c r="G59" s="75">
        <f>'Kaavat 1'!T122</f>
        <v>126.61440000000002</v>
      </c>
      <c r="H59" s="74">
        <f>'Kaavat 1'!Y118</f>
        <v>1.0452320000000002</v>
      </c>
      <c r="I59" s="75">
        <f>'Kaavat 1'!Z118</f>
        <v>76.528000000000006</v>
      </c>
      <c r="J59" s="75">
        <f>'Kaavat 1'!AA118</f>
        <v>62.591999999999999</v>
      </c>
      <c r="K59" s="73">
        <f>'Kaavat 1'!AB118</f>
        <v>2.3472</v>
      </c>
      <c r="L59" s="70">
        <f>'Kaavat 1'!AC118</f>
        <v>0</v>
      </c>
      <c r="M59" s="70">
        <f>'Kaavat 1'!AD118</f>
        <v>0</v>
      </c>
      <c r="N59" s="75">
        <f>'Kaavat 1'!AE118</f>
        <v>60.879999999999995</v>
      </c>
      <c r="O59" s="75">
        <f>'Kaavat 1'!AF118</f>
        <v>39.119999999999997</v>
      </c>
      <c r="P59" s="70">
        <f>'Kaavat 1'!AG118</f>
        <v>0</v>
      </c>
      <c r="Q59" s="68"/>
      <c r="R59" s="69"/>
      <c r="S59" s="69"/>
      <c r="T59" s="69"/>
    </row>
    <row r="60" spans="1:20">
      <c r="A60" s="70">
        <v>56</v>
      </c>
      <c r="B60" s="70"/>
      <c r="C60" s="70" t="s">
        <v>363</v>
      </c>
      <c r="D60" s="74">
        <f>'Kaavat 1'!Q123</f>
        <v>5.5161599999999991E-2</v>
      </c>
      <c r="E60" s="74">
        <f>'Kaavat 1'!R123</f>
        <v>0.10444799999999999</v>
      </c>
      <c r="F60" s="74">
        <f>'Kaavat 1'!S123</f>
        <v>-1.2710399999999999</v>
      </c>
      <c r="G60" s="75">
        <f>'Kaavat 1'!T123</f>
        <v>108.8544</v>
      </c>
      <c r="H60" s="74">
        <f>'Kaavat 1'!Y119</f>
        <v>1.042432</v>
      </c>
      <c r="I60" s="75">
        <f>'Kaavat 1'!Z119</f>
        <v>75.327999999999989</v>
      </c>
      <c r="J60" s="75">
        <f>'Kaavat 1'!AA119</f>
        <v>65.791999999999987</v>
      </c>
      <c r="K60" s="73">
        <f>'Kaavat 1'!AB119</f>
        <v>2.4671999999999996</v>
      </c>
      <c r="L60" s="70">
        <f>'Kaavat 1'!AC119</f>
        <v>0</v>
      </c>
      <c r="M60" s="70">
        <f>'Kaavat 1'!AD119</f>
        <v>0</v>
      </c>
      <c r="N60" s="75">
        <f>'Kaavat 1'!AE119</f>
        <v>62.879999999999995</v>
      </c>
      <c r="O60" s="75">
        <f>'Kaavat 1'!AF119</f>
        <v>41.12</v>
      </c>
      <c r="P60" s="70">
        <f>'Kaavat 1'!AG119</f>
        <v>0</v>
      </c>
      <c r="Q60" s="68"/>
      <c r="R60" s="69"/>
      <c r="S60" s="69"/>
      <c r="T60" s="69"/>
    </row>
    <row r="61" spans="1:20">
      <c r="A61" s="70">
        <v>57</v>
      </c>
      <c r="B61" s="70"/>
      <c r="C61" s="70" t="s">
        <v>364</v>
      </c>
      <c r="D61" s="74">
        <f>'Kaavat 1'!Q124</f>
        <v>5.1521600000000001E-2</v>
      </c>
      <c r="E61" s="74">
        <f>'Kaavat 1'!R124</f>
        <v>0.10524800000000001</v>
      </c>
      <c r="F61" s="74">
        <f>'Kaavat 1'!S124</f>
        <v>-1.2550399999999999</v>
      </c>
      <c r="G61" s="75">
        <f>'Kaavat 1'!T124</f>
        <v>91.094399999999993</v>
      </c>
      <c r="H61" s="74">
        <f>'Kaavat 1'!Y120</f>
        <v>1.0396320000000001</v>
      </c>
      <c r="I61" s="75">
        <f>'Kaavat 1'!Z120</f>
        <v>74.128</v>
      </c>
      <c r="J61" s="75">
        <f>'Kaavat 1'!AA120</f>
        <v>68.992000000000004</v>
      </c>
      <c r="K61" s="73">
        <f>'Kaavat 1'!AB120</f>
        <v>2.5872000000000002</v>
      </c>
      <c r="L61" s="70">
        <f>'Kaavat 1'!AC120</f>
        <v>0</v>
      </c>
      <c r="M61" s="70">
        <f>'Kaavat 1'!AD120</f>
        <v>0</v>
      </c>
      <c r="N61" s="75">
        <f>'Kaavat 1'!AE120</f>
        <v>64.88000000000001</v>
      </c>
      <c r="O61" s="75">
        <f>'Kaavat 1'!AF120</f>
        <v>43.120000000000005</v>
      </c>
      <c r="P61" s="70">
        <f>'Kaavat 1'!AG120</f>
        <v>0</v>
      </c>
      <c r="Q61" s="68"/>
      <c r="R61" s="69"/>
      <c r="S61" s="69"/>
      <c r="T61" s="69"/>
    </row>
    <row r="62" spans="1:20">
      <c r="A62" s="70">
        <v>58</v>
      </c>
      <c r="B62" s="70"/>
      <c r="C62" s="70" t="s">
        <v>103</v>
      </c>
      <c r="D62" s="70">
        <v>3.9E-2</v>
      </c>
      <c r="E62" s="70">
        <v>0.108</v>
      </c>
      <c r="F62" s="70">
        <v>-1.2</v>
      </c>
      <c r="G62" s="70">
        <v>30</v>
      </c>
      <c r="H62" s="70">
        <v>1.01</v>
      </c>
      <c r="I62" s="70">
        <v>78</v>
      </c>
      <c r="J62" s="70">
        <v>90</v>
      </c>
      <c r="K62" s="70">
        <v>3</v>
      </c>
      <c r="L62" s="70">
        <v>0</v>
      </c>
      <c r="M62" s="70">
        <v>20</v>
      </c>
      <c r="N62" s="70">
        <v>40</v>
      </c>
      <c r="O62" s="70">
        <v>40</v>
      </c>
      <c r="P62" s="70">
        <v>0</v>
      </c>
      <c r="Q62" s="68"/>
      <c r="R62" s="69"/>
      <c r="S62" s="69"/>
      <c r="T62" s="69"/>
    </row>
    <row r="63" spans="1:20">
      <c r="A63" s="70">
        <v>59</v>
      </c>
      <c r="B63" s="70"/>
      <c r="C63" s="70" t="s">
        <v>365</v>
      </c>
      <c r="D63" s="76">
        <v>5.8801600000000002E-2</v>
      </c>
      <c r="E63" s="76">
        <v>0.10364799999999999</v>
      </c>
      <c r="F63" s="74">
        <v>-1.28704</v>
      </c>
      <c r="G63" s="75">
        <v>126.61440000000002</v>
      </c>
      <c r="H63" s="74">
        <v>1.0295840000000001</v>
      </c>
      <c r="I63" s="75">
        <v>82.787199999999999</v>
      </c>
      <c r="J63" s="75">
        <v>70.415999999999997</v>
      </c>
      <c r="K63" s="73">
        <v>2.3472</v>
      </c>
      <c r="L63" s="70">
        <v>0</v>
      </c>
      <c r="M63" s="75">
        <v>15.648</v>
      </c>
      <c r="N63" s="75">
        <v>53.055999999999997</v>
      </c>
      <c r="O63" s="75">
        <v>31.295999999999999</v>
      </c>
      <c r="P63" s="70">
        <v>0</v>
      </c>
      <c r="Q63" s="68"/>
      <c r="R63" s="69"/>
      <c r="S63" s="69"/>
      <c r="T63" s="69"/>
    </row>
    <row r="64" spans="1:20">
      <c r="A64" s="70">
        <v>60</v>
      </c>
      <c r="B64" s="70"/>
      <c r="C64" s="70" t="s">
        <v>366</v>
      </c>
      <c r="D64" s="76">
        <v>5.5161599999999991E-2</v>
      </c>
      <c r="E64" s="76">
        <v>0.10444799999999999</v>
      </c>
      <c r="F64" s="74">
        <v>-1.2710399999999999</v>
      </c>
      <c r="G64" s="75">
        <v>108.8544</v>
      </c>
      <c r="H64" s="74">
        <v>1.025984</v>
      </c>
      <c r="I64" s="75">
        <v>81.907200000000003</v>
      </c>
      <c r="J64" s="75">
        <v>74.015999999999991</v>
      </c>
      <c r="K64" s="73">
        <v>2.4671999999999996</v>
      </c>
      <c r="L64" s="70">
        <v>0</v>
      </c>
      <c r="M64" s="75">
        <v>16.447999999999997</v>
      </c>
      <c r="N64" s="75">
        <v>54.655999999999992</v>
      </c>
      <c r="O64" s="75">
        <v>32.895999999999994</v>
      </c>
      <c r="P64" s="70">
        <v>0</v>
      </c>
      <c r="Q64" s="68"/>
      <c r="R64" s="69"/>
      <c r="S64" s="69"/>
      <c r="T64" s="69"/>
    </row>
    <row r="65" spans="1:20">
      <c r="A65" s="70">
        <v>61</v>
      </c>
      <c r="B65" s="70"/>
      <c r="C65" s="70" t="s">
        <v>365</v>
      </c>
      <c r="D65" s="76">
        <v>5.1521600000000001E-2</v>
      </c>
      <c r="E65" s="76">
        <v>0.10524800000000001</v>
      </c>
      <c r="F65" s="74">
        <v>-1.2550399999999999</v>
      </c>
      <c r="G65" s="75">
        <v>91.094399999999993</v>
      </c>
      <c r="H65" s="74">
        <v>1.022384</v>
      </c>
      <c r="I65" s="75">
        <v>81.027199999999993</v>
      </c>
      <c r="J65" s="75">
        <v>77.616</v>
      </c>
      <c r="K65" s="73">
        <v>2.5872000000000002</v>
      </c>
      <c r="L65" s="70">
        <v>0</v>
      </c>
      <c r="M65" s="75">
        <v>17.248000000000001</v>
      </c>
      <c r="N65" s="75">
        <v>56.256</v>
      </c>
      <c r="O65" s="75">
        <v>34.496000000000002</v>
      </c>
      <c r="P65" s="70">
        <v>0</v>
      </c>
      <c r="Q65" s="68"/>
      <c r="R65" s="69"/>
      <c r="S65" s="69"/>
      <c r="T65" s="69"/>
    </row>
    <row r="66" spans="1:20">
      <c r="A66" s="70">
        <v>62</v>
      </c>
      <c r="B66" s="70"/>
      <c r="C66" s="70" t="s">
        <v>151</v>
      </c>
      <c r="D66" s="70">
        <v>3.3000000000000002E-2</v>
      </c>
      <c r="E66" s="70">
        <v>1.2</v>
      </c>
      <c r="F66" s="70">
        <v>0</v>
      </c>
      <c r="G66" s="70">
        <v>20</v>
      </c>
      <c r="H66" s="70">
        <v>1.03</v>
      </c>
      <c r="I66" s="70">
        <v>0</v>
      </c>
      <c r="J66" s="70">
        <v>50</v>
      </c>
      <c r="K66" s="70">
        <v>0</v>
      </c>
      <c r="L66" s="70">
        <v>0</v>
      </c>
      <c r="M66" s="70">
        <v>0</v>
      </c>
      <c r="N66" s="70">
        <v>0</v>
      </c>
      <c r="O66" s="70">
        <v>100</v>
      </c>
      <c r="P66" s="70">
        <v>0</v>
      </c>
      <c r="Q66" s="68"/>
      <c r="R66" s="69"/>
      <c r="S66" s="69"/>
      <c r="T66" s="69"/>
    </row>
    <row r="67" spans="1:20">
      <c r="A67" s="70">
        <v>63</v>
      </c>
      <c r="B67" s="70"/>
      <c r="C67" s="70" t="s">
        <v>367</v>
      </c>
      <c r="D67" s="74">
        <v>5.4107200000000008E-2</v>
      </c>
      <c r="E67" s="74">
        <v>0.9580287999999999</v>
      </c>
      <c r="F67" s="74">
        <v>-0.34816000000000003</v>
      </c>
      <c r="G67" s="75">
        <v>118.79040000000001</v>
      </c>
      <c r="H67" s="74">
        <v>1.0452320000000002</v>
      </c>
      <c r="I67" s="75">
        <v>21.76</v>
      </c>
      <c r="J67" s="75">
        <v>39.119999999999997</v>
      </c>
      <c r="K67" s="70">
        <v>0</v>
      </c>
      <c r="L67" s="70">
        <v>0</v>
      </c>
      <c r="M67" s="70">
        <v>0</v>
      </c>
      <c r="N67" s="75">
        <v>21.76</v>
      </c>
      <c r="O67" s="75">
        <v>78.239999999999995</v>
      </c>
      <c r="P67" s="70">
        <v>0</v>
      </c>
      <c r="Q67" s="68"/>
      <c r="R67" s="69"/>
      <c r="S67" s="69"/>
      <c r="T67" s="69"/>
    </row>
    <row r="68" spans="1:20">
      <c r="A68" s="70">
        <v>64</v>
      </c>
      <c r="B68" s="70"/>
      <c r="C68" s="70" t="s">
        <v>368</v>
      </c>
      <c r="D68" s="74">
        <v>5.02272E-2</v>
      </c>
      <c r="E68" s="74">
        <v>1.0025087999999998</v>
      </c>
      <c r="F68" s="74">
        <v>-0.28416000000000002</v>
      </c>
      <c r="G68" s="75">
        <v>100.63039999999999</v>
      </c>
      <c r="H68" s="74">
        <v>1.042432</v>
      </c>
      <c r="I68" s="75">
        <v>17.760000000000002</v>
      </c>
      <c r="J68" s="75">
        <v>41.12</v>
      </c>
      <c r="K68" s="70">
        <v>0</v>
      </c>
      <c r="L68" s="70">
        <v>0</v>
      </c>
      <c r="M68" s="70">
        <v>0</v>
      </c>
      <c r="N68" s="75">
        <v>17.760000000000002</v>
      </c>
      <c r="O68" s="75">
        <v>82.24</v>
      </c>
      <c r="P68" s="70">
        <v>0</v>
      </c>
      <c r="Q68" s="68"/>
      <c r="R68" s="69"/>
      <c r="S68" s="69"/>
      <c r="T68" s="69"/>
    </row>
    <row r="69" spans="1:20">
      <c r="A69" s="70">
        <v>65</v>
      </c>
      <c r="B69" s="70"/>
      <c r="C69" s="70" t="s">
        <v>369</v>
      </c>
      <c r="D69" s="74">
        <v>4.6347200000000005E-2</v>
      </c>
      <c r="E69" s="74">
        <v>1.0469888000000001</v>
      </c>
      <c r="F69" s="74">
        <v>-0.22015999999999997</v>
      </c>
      <c r="G69" s="75">
        <v>82.470399999999998</v>
      </c>
      <c r="H69" s="74">
        <v>1.0396320000000001</v>
      </c>
      <c r="I69" s="75">
        <v>13.759999999999998</v>
      </c>
      <c r="J69" s="75">
        <v>43.120000000000005</v>
      </c>
      <c r="K69" s="70">
        <v>0</v>
      </c>
      <c r="L69" s="70">
        <v>0</v>
      </c>
      <c r="M69" s="70">
        <v>0</v>
      </c>
      <c r="N69" s="75">
        <v>13.759999999999998</v>
      </c>
      <c r="O69" s="75">
        <v>86.240000000000009</v>
      </c>
      <c r="P69" s="70">
        <v>0</v>
      </c>
      <c r="Q69" s="68"/>
      <c r="R69" s="69"/>
      <c r="S69" s="69"/>
      <c r="T69" s="69"/>
    </row>
    <row r="70" spans="1:20">
      <c r="A70" s="70">
        <v>66</v>
      </c>
      <c r="B70" s="70"/>
      <c r="C70" s="70" t="s">
        <v>154</v>
      </c>
      <c r="D70" s="70">
        <v>3.6999999999999998E-2</v>
      </c>
      <c r="E70" s="70">
        <v>1.2</v>
      </c>
      <c r="F70" s="70">
        <v>0</v>
      </c>
      <c r="G70" s="70">
        <v>14</v>
      </c>
      <c r="H70" s="70">
        <v>1.03</v>
      </c>
      <c r="I70" s="70">
        <v>0</v>
      </c>
      <c r="J70" s="70">
        <v>50</v>
      </c>
      <c r="K70" s="70">
        <v>0</v>
      </c>
      <c r="L70" s="70">
        <v>0</v>
      </c>
      <c r="M70" s="70">
        <v>0</v>
      </c>
      <c r="N70" s="70">
        <v>0</v>
      </c>
      <c r="O70" s="70">
        <v>100</v>
      </c>
      <c r="P70" s="70">
        <v>0</v>
      </c>
      <c r="Q70" s="68"/>
      <c r="R70" s="69"/>
      <c r="S70" s="69"/>
      <c r="T70" s="69"/>
    </row>
    <row r="71" spans="1:20">
      <c r="A71" s="70">
        <v>67</v>
      </c>
      <c r="B71" s="70"/>
      <c r="C71" s="70" t="s">
        <v>370</v>
      </c>
      <c r="D71" s="74">
        <v>5.7236800000000004E-2</v>
      </c>
      <c r="E71" s="74">
        <v>0.9580287999999999</v>
      </c>
      <c r="F71" s="73">
        <v>-0.34816000000000003</v>
      </c>
      <c r="G71" s="75">
        <v>114.096</v>
      </c>
      <c r="H71" s="74">
        <v>1.0452320000000002</v>
      </c>
      <c r="I71" s="75">
        <v>21.76</v>
      </c>
      <c r="J71" s="75">
        <v>39.119999999999997</v>
      </c>
      <c r="K71" s="70">
        <v>0</v>
      </c>
      <c r="L71" s="70">
        <v>0</v>
      </c>
      <c r="M71" s="70">
        <v>0</v>
      </c>
      <c r="N71" s="75">
        <v>21.76</v>
      </c>
      <c r="O71" s="75">
        <v>78.239999999999995</v>
      </c>
      <c r="P71" s="70">
        <v>0</v>
      </c>
      <c r="Q71" s="68"/>
      <c r="R71" s="69"/>
      <c r="S71" s="69"/>
      <c r="T71" s="69"/>
    </row>
    <row r="72" spans="1:20">
      <c r="A72" s="70">
        <v>68</v>
      </c>
      <c r="B72" s="70"/>
      <c r="C72" s="70" t="s">
        <v>371</v>
      </c>
      <c r="D72" s="74">
        <v>5.3516799999999996E-2</v>
      </c>
      <c r="E72" s="74">
        <v>1.0025087999999998</v>
      </c>
      <c r="F72" s="73">
        <v>-0.28416000000000002</v>
      </c>
      <c r="G72" s="75">
        <v>95.695999999999998</v>
      </c>
      <c r="H72" s="74">
        <v>1.042432</v>
      </c>
      <c r="I72" s="75">
        <v>17.760000000000002</v>
      </c>
      <c r="J72" s="75">
        <v>41.12</v>
      </c>
      <c r="K72" s="70">
        <v>0</v>
      </c>
      <c r="L72" s="70">
        <v>0</v>
      </c>
      <c r="M72" s="70">
        <v>0</v>
      </c>
      <c r="N72" s="75">
        <v>21.76</v>
      </c>
      <c r="O72" s="75">
        <v>82.24</v>
      </c>
      <c r="P72" s="70">
        <v>0</v>
      </c>
      <c r="Q72" s="68"/>
      <c r="R72" s="69"/>
      <c r="S72" s="69"/>
      <c r="T72" s="69"/>
    </row>
    <row r="73" spans="1:20">
      <c r="A73" s="70">
        <v>69</v>
      </c>
      <c r="B73" s="70"/>
      <c r="C73" s="70" t="s">
        <v>372</v>
      </c>
      <c r="D73" s="74">
        <v>4.9796800000000002E-2</v>
      </c>
      <c r="E73" s="74">
        <v>1.0469888000000001</v>
      </c>
      <c r="F73" s="73">
        <v>-0.22015999999999997</v>
      </c>
      <c r="G73" s="73">
        <v>77.295999999999992</v>
      </c>
      <c r="H73" s="74">
        <v>1.0396320000000001</v>
      </c>
      <c r="I73" s="75">
        <v>13.759999999999998</v>
      </c>
      <c r="J73" s="75">
        <v>43.120000000000005</v>
      </c>
      <c r="K73" s="70">
        <v>0</v>
      </c>
      <c r="L73" s="70">
        <v>0</v>
      </c>
      <c r="M73" s="70">
        <v>0</v>
      </c>
      <c r="N73" s="75">
        <v>21.76</v>
      </c>
      <c r="O73" s="75">
        <v>86.240000000000009</v>
      </c>
      <c r="P73" s="70">
        <v>0</v>
      </c>
      <c r="Q73" s="68"/>
      <c r="R73" s="69"/>
      <c r="S73" s="69"/>
      <c r="T73" s="69"/>
    </row>
    <row r="74" spans="1:20">
      <c r="A74" s="70">
        <v>70</v>
      </c>
      <c r="B74" s="70"/>
      <c r="C74" s="70" t="s">
        <v>104</v>
      </c>
      <c r="D74" s="70">
        <v>3.1E-2</v>
      </c>
      <c r="E74" s="70">
        <v>1.2</v>
      </c>
      <c r="F74" s="70">
        <v>0</v>
      </c>
      <c r="G74" s="70">
        <v>60</v>
      </c>
      <c r="H74" s="70">
        <v>1.03</v>
      </c>
      <c r="I74" s="70">
        <v>0</v>
      </c>
      <c r="J74" s="70">
        <v>50</v>
      </c>
      <c r="K74" s="70">
        <v>0</v>
      </c>
      <c r="L74" s="70">
        <v>0</v>
      </c>
      <c r="M74" s="70">
        <v>0</v>
      </c>
      <c r="N74" s="70">
        <v>0</v>
      </c>
      <c r="O74" s="70">
        <v>100</v>
      </c>
      <c r="P74" s="70">
        <v>0</v>
      </c>
      <c r="Q74" s="68"/>
      <c r="R74" s="69"/>
      <c r="S74" s="69"/>
      <c r="T74" s="69"/>
    </row>
    <row r="75" spans="1:20">
      <c r="A75" s="70">
        <v>71</v>
      </c>
      <c r="B75" s="70"/>
      <c r="C75" s="70" t="s">
        <v>298</v>
      </c>
      <c r="D75" s="70">
        <v>4.1000000000000002E-2</v>
      </c>
      <c r="E75" s="70">
        <v>1.2</v>
      </c>
      <c r="F75" s="70">
        <v>0</v>
      </c>
      <c r="G75" s="70">
        <v>15</v>
      </c>
      <c r="H75" s="70">
        <v>1.03</v>
      </c>
      <c r="I75" s="70">
        <v>0</v>
      </c>
      <c r="J75" s="70">
        <v>50</v>
      </c>
      <c r="K75" s="70">
        <v>0</v>
      </c>
      <c r="L75" s="70">
        <v>0</v>
      </c>
      <c r="M75" s="70">
        <v>0</v>
      </c>
      <c r="N75" s="70">
        <v>0</v>
      </c>
      <c r="O75" s="70">
        <v>100</v>
      </c>
      <c r="P75" s="70">
        <v>0</v>
      </c>
      <c r="Q75" s="68"/>
      <c r="R75" s="69"/>
      <c r="S75" s="69"/>
      <c r="T75" s="69"/>
    </row>
    <row r="76" spans="1:20">
      <c r="A76" s="70">
        <v>72</v>
      </c>
      <c r="B76" s="70"/>
      <c r="C76" s="70" t="s">
        <v>373</v>
      </c>
      <c r="D76" s="76">
        <v>6.0366400000000001E-2</v>
      </c>
      <c r="E76" s="74">
        <v>0.9580287999999999</v>
      </c>
      <c r="F76" s="74">
        <v>-0.34816000000000003</v>
      </c>
      <c r="G76" s="75">
        <v>114.87840000000001</v>
      </c>
      <c r="H76" s="74">
        <v>1.0452320000000002</v>
      </c>
      <c r="I76" s="75">
        <v>21.76</v>
      </c>
      <c r="J76" s="75">
        <v>39.119999999999997</v>
      </c>
      <c r="K76" s="70">
        <v>0</v>
      </c>
      <c r="L76" s="70">
        <v>0</v>
      </c>
      <c r="M76" s="70">
        <v>0</v>
      </c>
      <c r="N76" s="75">
        <v>21.76</v>
      </c>
      <c r="O76" s="75">
        <v>78.239999999999995</v>
      </c>
      <c r="P76" s="70">
        <v>0</v>
      </c>
      <c r="Q76" s="68"/>
      <c r="R76" s="69"/>
      <c r="S76" s="69"/>
      <c r="T76" s="69"/>
    </row>
    <row r="77" spans="1:20">
      <c r="A77" s="70">
        <v>73</v>
      </c>
      <c r="B77" s="70"/>
      <c r="C77" s="70" t="s">
        <v>374</v>
      </c>
      <c r="D77" s="76">
        <v>5.6806399999999993E-2</v>
      </c>
      <c r="E77" s="74">
        <v>1.0025087999999998</v>
      </c>
      <c r="F77" s="74">
        <v>-0.28416000000000002</v>
      </c>
      <c r="G77" s="75">
        <v>96.5184</v>
      </c>
      <c r="H77" s="74">
        <v>1.042432</v>
      </c>
      <c r="I77" s="75">
        <v>17.760000000000002</v>
      </c>
      <c r="J77" s="75">
        <v>41.12</v>
      </c>
      <c r="K77" s="70">
        <v>0</v>
      </c>
      <c r="L77" s="70">
        <v>0</v>
      </c>
      <c r="M77" s="70">
        <v>0</v>
      </c>
      <c r="N77" s="75">
        <v>21.76</v>
      </c>
      <c r="O77" s="75">
        <v>82.24</v>
      </c>
      <c r="P77" s="70">
        <v>0</v>
      </c>
      <c r="Q77" s="68"/>
      <c r="R77" s="69"/>
      <c r="S77" s="69"/>
      <c r="T77" s="69"/>
    </row>
    <row r="78" spans="1:20">
      <c r="A78" s="70">
        <v>74</v>
      </c>
      <c r="B78" s="70"/>
      <c r="C78" s="70" t="s">
        <v>375</v>
      </c>
      <c r="D78" s="76">
        <v>5.3246399999999999E-2</v>
      </c>
      <c r="E78" s="74">
        <v>1.0469888000000001</v>
      </c>
      <c r="F78" s="74">
        <v>-0.22015999999999997</v>
      </c>
      <c r="G78" s="75">
        <v>78.1584</v>
      </c>
      <c r="H78" s="74">
        <v>1.0396320000000001</v>
      </c>
      <c r="I78" s="75">
        <v>13.759999999999998</v>
      </c>
      <c r="J78" s="75">
        <v>43.120000000000005</v>
      </c>
      <c r="K78" s="70">
        <v>0</v>
      </c>
      <c r="L78" s="70">
        <v>0</v>
      </c>
      <c r="M78" s="70">
        <v>0</v>
      </c>
      <c r="N78" s="75">
        <v>21.76</v>
      </c>
      <c r="O78" s="75">
        <v>86.240000000000009</v>
      </c>
      <c r="P78" s="70">
        <v>0</v>
      </c>
      <c r="Q78" s="68"/>
      <c r="R78" s="69"/>
      <c r="S78" s="69"/>
      <c r="T78" s="69"/>
    </row>
    <row r="79" spans="1:20">
      <c r="A79" s="70">
        <v>75</v>
      </c>
      <c r="B79" s="70"/>
      <c r="C79" s="70" t="s">
        <v>299</v>
      </c>
      <c r="D79" s="70">
        <v>4.1000000000000002E-2</v>
      </c>
      <c r="E79" s="70">
        <v>1.5</v>
      </c>
      <c r="F79" s="70">
        <v>0</v>
      </c>
      <c r="G79" s="70">
        <v>33</v>
      </c>
      <c r="H79" s="70">
        <v>1.01</v>
      </c>
      <c r="I79" s="70">
        <v>0</v>
      </c>
      <c r="J79" s="70">
        <v>0</v>
      </c>
      <c r="K79" s="70">
        <v>0</v>
      </c>
      <c r="L79" s="70">
        <v>0</v>
      </c>
      <c r="M79" s="70">
        <v>0</v>
      </c>
      <c r="N79" s="70">
        <v>0</v>
      </c>
      <c r="O79" s="70">
        <v>100</v>
      </c>
      <c r="P79" s="70">
        <v>0</v>
      </c>
      <c r="Q79" s="68"/>
      <c r="R79" s="69"/>
      <c r="S79" s="69"/>
      <c r="T79" s="69"/>
    </row>
    <row r="80" spans="1:20">
      <c r="A80" s="70">
        <v>76</v>
      </c>
      <c r="B80" s="70"/>
      <c r="C80" s="70" t="s">
        <v>376</v>
      </c>
      <c r="D80" s="76">
        <v>6.0366400000000001E-2</v>
      </c>
      <c r="E80" s="74">
        <v>1.1927487999999999</v>
      </c>
      <c r="F80" s="74">
        <v>-0.34816000000000003</v>
      </c>
      <c r="G80" s="75">
        <v>128.9616</v>
      </c>
      <c r="H80" s="74">
        <v>1.0295840000000001</v>
      </c>
      <c r="I80" s="75">
        <v>21.76</v>
      </c>
      <c r="J80" s="75">
        <v>0</v>
      </c>
      <c r="K80" s="75">
        <v>0</v>
      </c>
      <c r="L80" s="75">
        <v>0</v>
      </c>
      <c r="M80" s="75">
        <v>0</v>
      </c>
      <c r="N80" s="75">
        <v>21.76</v>
      </c>
      <c r="O80" s="75">
        <v>78.239999999999995</v>
      </c>
      <c r="P80" s="75">
        <v>0</v>
      </c>
      <c r="Q80" s="68"/>
      <c r="R80" s="69"/>
      <c r="S80" s="69"/>
      <c r="T80" s="69"/>
    </row>
    <row r="81" spans="1:20">
      <c r="A81" s="70">
        <v>77</v>
      </c>
      <c r="B81" s="70"/>
      <c r="C81" s="70" t="s">
        <v>377</v>
      </c>
      <c r="D81" s="76">
        <v>5.6806399999999993E-2</v>
      </c>
      <c r="E81" s="74">
        <v>1.2492287999999998</v>
      </c>
      <c r="F81" s="74">
        <v>-0.57048678400000008</v>
      </c>
      <c r="G81" s="75">
        <v>111.32159999999999</v>
      </c>
      <c r="H81" s="74">
        <v>1.025984</v>
      </c>
      <c r="I81" s="75">
        <v>17.760000000000002</v>
      </c>
      <c r="J81" s="75">
        <v>0</v>
      </c>
      <c r="K81" s="75">
        <v>0</v>
      </c>
      <c r="L81" s="75">
        <v>0</v>
      </c>
      <c r="M81" s="75">
        <v>0</v>
      </c>
      <c r="N81" s="75">
        <v>21.76</v>
      </c>
      <c r="O81" s="75">
        <v>82.24</v>
      </c>
      <c r="P81" s="75">
        <v>0</v>
      </c>
      <c r="Q81" s="68"/>
      <c r="R81" s="69"/>
      <c r="S81" s="69"/>
      <c r="T81" s="69"/>
    </row>
    <row r="82" spans="1:20">
      <c r="A82" s="70">
        <v>78</v>
      </c>
      <c r="B82" s="70"/>
      <c r="C82" s="70" t="s">
        <v>378</v>
      </c>
      <c r="D82" s="76">
        <v>5.3246399999999999E-2</v>
      </c>
      <c r="E82" s="74">
        <v>1.3057088000000001</v>
      </c>
      <c r="F82" s="74">
        <v>-0.71214780252160015</v>
      </c>
      <c r="G82" s="75">
        <v>93.681600000000003</v>
      </c>
      <c r="H82" s="74">
        <v>1.022384</v>
      </c>
      <c r="I82" s="75">
        <v>13.759999999999998</v>
      </c>
      <c r="J82" s="75">
        <v>0</v>
      </c>
      <c r="K82" s="75">
        <v>0</v>
      </c>
      <c r="L82" s="75">
        <v>0</v>
      </c>
      <c r="M82" s="75">
        <v>0</v>
      </c>
      <c r="N82" s="75">
        <v>21.76</v>
      </c>
      <c r="O82" s="75">
        <v>86.240000000000009</v>
      </c>
      <c r="P82" s="75">
        <v>0</v>
      </c>
      <c r="Q82" s="68"/>
      <c r="R82" s="69"/>
      <c r="S82" s="69"/>
      <c r="T82" s="69"/>
    </row>
    <row r="83" spans="1:20">
      <c r="A83" s="70">
        <v>79</v>
      </c>
      <c r="B83" s="70"/>
      <c r="C83" s="70" t="s">
        <v>105</v>
      </c>
      <c r="D83" s="70">
        <v>3.5999999999999997E-2</v>
      </c>
      <c r="E83" s="70">
        <v>1.5</v>
      </c>
      <c r="F83" s="70">
        <v>0</v>
      </c>
      <c r="G83" s="70">
        <v>61</v>
      </c>
      <c r="H83" s="70">
        <v>1.03</v>
      </c>
      <c r="I83" s="70">
        <v>0</v>
      </c>
      <c r="J83" s="70">
        <v>0</v>
      </c>
      <c r="K83" s="70">
        <v>0</v>
      </c>
      <c r="L83" s="70">
        <v>0</v>
      </c>
      <c r="M83" s="70">
        <v>0</v>
      </c>
      <c r="N83" s="70">
        <v>0</v>
      </c>
      <c r="O83" s="70">
        <v>100</v>
      </c>
      <c r="P83" s="70">
        <v>0</v>
      </c>
      <c r="Q83" s="68"/>
      <c r="R83" s="69"/>
      <c r="S83" s="69"/>
      <c r="T83" s="69"/>
    </row>
    <row r="84" spans="1:20">
      <c r="A84" s="70">
        <v>80</v>
      </c>
      <c r="B84" s="70"/>
      <c r="C84" s="70" t="s">
        <v>379</v>
      </c>
      <c r="D84" s="76">
        <v>5.6454400000000002E-2</v>
      </c>
      <c r="E84" s="74">
        <v>1.1927487999999999</v>
      </c>
      <c r="F84" s="74">
        <v>-0.34816000000000003</v>
      </c>
      <c r="G84" s="75">
        <v>150.86880000000002</v>
      </c>
      <c r="H84" s="74">
        <v>1.0452320000000002</v>
      </c>
      <c r="I84" s="75">
        <v>21.76</v>
      </c>
      <c r="J84" s="75">
        <v>0</v>
      </c>
      <c r="K84" s="75">
        <v>0</v>
      </c>
      <c r="L84" s="75">
        <v>0</v>
      </c>
      <c r="M84" s="75">
        <v>0</v>
      </c>
      <c r="N84" s="75">
        <v>21.76</v>
      </c>
      <c r="O84" s="75">
        <v>78.239999999999995</v>
      </c>
      <c r="P84" s="70">
        <v>0</v>
      </c>
      <c r="Q84" s="68"/>
      <c r="R84" s="69"/>
      <c r="S84" s="69"/>
      <c r="T84" s="69"/>
    </row>
    <row r="85" spans="1:20">
      <c r="A85" s="70">
        <v>81</v>
      </c>
      <c r="B85" s="70"/>
      <c r="C85" s="70" t="s">
        <v>380</v>
      </c>
      <c r="D85" s="76">
        <v>5.2694399999999995E-2</v>
      </c>
      <c r="E85" s="74">
        <v>1.2492287999999998</v>
      </c>
      <c r="F85" s="74">
        <v>-0.28416000000000002</v>
      </c>
      <c r="G85" s="75">
        <v>134.34879999999998</v>
      </c>
      <c r="H85" s="74">
        <v>1.042432</v>
      </c>
      <c r="I85" s="75">
        <v>17.760000000000002</v>
      </c>
      <c r="J85" s="75">
        <v>0</v>
      </c>
      <c r="K85" s="75">
        <v>0</v>
      </c>
      <c r="L85" s="75">
        <v>0</v>
      </c>
      <c r="M85" s="75">
        <v>0</v>
      </c>
      <c r="N85" s="75">
        <v>21.76</v>
      </c>
      <c r="O85" s="75">
        <v>82.24</v>
      </c>
      <c r="P85" s="70">
        <v>0</v>
      </c>
      <c r="Q85" s="68"/>
      <c r="R85" s="69"/>
      <c r="S85" s="69"/>
      <c r="T85" s="69"/>
    </row>
    <row r="86" spans="1:20">
      <c r="A86" s="70">
        <v>82</v>
      </c>
      <c r="B86" s="70"/>
      <c r="C86" s="70" t="s">
        <v>381</v>
      </c>
      <c r="D86" s="76">
        <v>4.8934399999999996E-2</v>
      </c>
      <c r="E86" s="74">
        <v>1.3057088000000001</v>
      </c>
      <c r="F86" s="70">
        <v>-0.22015999999999997</v>
      </c>
      <c r="G86" s="75">
        <v>117.8288</v>
      </c>
      <c r="H86" s="74">
        <v>1.0396320000000001</v>
      </c>
      <c r="I86" s="75">
        <v>13.759999999999998</v>
      </c>
      <c r="J86" s="75">
        <v>0</v>
      </c>
      <c r="K86" s="75">
        <v>0</v>
      </c>
      <c r="L86" s="75">
        <v>0</v>
      </c>
      <c r="M86" s="75">
        <v>0</v>
      </c>
      <c r="N86" s="75">
        <v>21.76</v>
      </c>
      <c r="O86" s="75">
        <v>86.240000000000009</v>
      </c>
      <c r="P86" s="70">
        <v>0</v>
      </c>
      <c r="Q86" s="68"/>
      <c r="R86" s="69"/>
      <c r="S86" s="69"/>
      <c r="T86" s="69"/>
    </row>
    <row r="87" spans="1:20">
      <c r="A87" s="70">
        <v>83</v>
      </c>
      <c r="B87" s="70"/>
      <c r="C87" s="70" t="s">
        <v>152</v>
      </c>
      <c r="D87" s="70">
        <v>3.3000000000000002E-2</v>
      </c>
      <c r="E87" s="70">
        <v>1.5</v>
      </c>
      <c r="F87" s="70">
        <v>0</v>
      </c>
      <c r="G87" s="70">
        <v>29.5</v>
      </c>
      <c r="H87" s="70">
        <v>1.03</v>
      </c>
      <c r="I87" s="70">
        <v>0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  <c r="O87" s="70">
        <v>100</v>
      </c>
      <c r="P87" s="70">
        <v>0</v>
      </c>
      <c r="Q87" s="68"/>
      <c r="R87" s="69"/>
      <c r="S87" s="69"/>
      <c r="T87" s="69"/>
    </row>
    <row r="88" spans="1:20">
      <c r="A88" s="70">
        <v>84</v>
      </c>
      <c r="B88" s="70"/>
      <c r="C88" s="70" t="s">
        <v>382</v>
      </c>
      <c r="D88" s="76">
        <v>5.4107200000000008E-2</v>
      </c>
      <c r="E88" s="74">
        <v>1.1927487999999999</v>
      </c>
      <c r="F88" s="74">
        <v>-0.34816000000000003</v>
      </c>
      <c r="G88" s="75">
        <v>126.22320000000001</v>
      </c>
      <c r="H88" s="74">
        <v>1.0452320000000002</v>
      </c>
      <c r="I88" s="75">
        <v>21.76</v>
      </c>
      <c r="J88" s="75">
        <v>0</v>
      </c>
      <c r="K88" s="75">
        <v>0</v>
      </c>
      <c r="L88" s="75">
        <v>0</v>
      </c>
      <c r="M88" s="75">
        <v>0</v>
      </c>
      <c r="N88" s="75">
        <v>21.76</v>
      </c>
      <c r="O88" s="75">
        <v>78.239999999999995</v>
      </c>
      <c r="P88" s="70">
        <v>0</v>
      </c>
      <c r="Q88" s="68"/>
      <c r="R88" s="69"/>
      <c r="S88" s="69"/>
      <c r="T88" s="69"/>
    </row>
    <row r="89" spans="1:20">
      <c r="A89" s="70">
        <v>85</v>
      </c>
      <c r="B89" s="70"/>
      <c r="C89" s="70" t="s">
        <v>383</v>
      </c>
      <c r="D89" s="76">
        <v>5.02272E-2</v>
      </c>
      <c r="E89" s="74">
        <v>1.2492287999999998</v>
      </c>
      <c r="F89" s="74">
        <v>-0.28416000000000002</v>
      </c>
      <c r="G89" s="75">
        <v>108.44319999999999</v>
      </c>
      <c r="H89" s="74">
        <v>1.042432</v>
      </c>
      <c r="I89" s="75">
        <v>17.760000000000002</v>
      </c>
      <c r="J89" s="75">
        <v>0</v>
      </c>
      <c r="K89" s="75">
        <v>0</v>
      </c>
      <c r="L89" s="75">
        <v>0</v>
      </c>
      <c r="M89" s="75">
        <v>0</v>
      </c>
      <c r="N89" s="75">
        <v>21.76</v>
      </c>
      <c r="O89" s="75">
        <v>82.24</v>
      </c>
      <c r="P89" s="70">
        <v>0</v>
      </c>
      <c r="Q89" s="68"/>
      <c r="R89" s="69"/>
      <c r="S89" s="69"/>
      <c r="T89" s="69"/>
    </row>
    <row r="90" spans="1:20">
      <c r="A90" s="70">
        <v>86</v>
      </c>
      <c r="B90" s="70"/>
      <c r="C90" s="70" t="s">
        <v>384</v>
      </c>
      <c r="D90" s="76">
        <v>4.6347200000000005E-2</v>
      </c>
      <c r="E90" s="74">
        <v>1.3057088000000001</v>
      </c>
      <c r="F90" s="74">
        <v>-0.22015999999999997</v>
      </c>
      <c r="G90" s="75">
        <v>90.663199999999989</v>
      </c>
      <c r="H90" s="74">
        <v>1.0396320000000001</v>
      </c>
      <c r="I90" s="75">
        <v>13.759999999999998</v>
      </c>
      <c r="J90" s="75">
        <v>0</v>
      </c>
      <c r="K90" s="75">
        <v>0</v>
      </c>
      <c r="L90" s="75">
        <v>0</v>
      </c>
      <c r="M90" s="75">
        <v>0</v>
      </c>
      <c r="N90" s="75">
        <v>21.76</v>
      </c>
      <c r="O90" s="75">
        <v>86.240000000000009</v>
      </c>
      <c r="P90" s="70">
        <v>0</v>
      </c>
      <c r="Q90" s="68"/>
      <c r="R90" s="69"/>
      <c r="S90" s="69"/>
      <c r="T90" s="69"/>
    </row>
    <row r="91" spans="1:20">
      <c r="A91" s="70">
        <v>87</v>
      </c>
      <c r="B91" s="70"/>
      <c r="C91" s="70" t="s">
        <v>106</v>
      </c>
      <c r="D91" s="70">
        <v>3.5999999999999997E-2</v>
      </c>
      <c r="E91" s="70">
        <v>3.5</v>
      </c>
      <c r="F91" s="70">
        <v>0</v>
      </c>
      <c r="G91" s="70">
        <v>16</v>
      </c>
      <c r="H91" s="70">
        <v>1.03</v>
      </c>
      <c r="I91" s="70">
        <v>0</v>
      </c>
      <c r="J91" s="70">
        <v>0</v>
      </c>
      <c r="K91" s="70">
        <v>0</v>
      </c>
      <c r="L91" s="70">
        <v>0</v>
      </c>
      <c r="M91" s="70">
        <v>30</v>
      </c>
      <c r="N91" s="70">
        <v>70</v>
      </c>
      <c r="O91" s="70">
        <v>0</v>
      </c>
      <c r="P91" s="70">
        <v>0</v>
      </c>
      <c r="Q91" s="68"/>
      <c r="R91" s="69"/>
      <c r="S91" s="69"/>
      <c r="T91" s="69"/>
    </row>
    <row r="92" spans="1:20">
      <c r="A92" s="70">
        <v>88</v>
      </c>
      <c r="B92" s="70"/>
      <c r="C92" s="70" t="s">
        <v>107</v>
      </c>
      <c r="D92" s="70">
        <v>2.3E-2</v>
      </c>
      <c r="E92" s="70">
        <v>4.2</v>
      </c>
      <c r="F92" s="70">
        <v>0</v>
      </c>
      <c r="G92" s="70">
        <v>31</v>
      </c>
      <c r="H92" s="70">
        <v>1.03</v>
      </c>
      <c r="I92" s="70">
        <v>0</v>
      </c>
      <c r="J92" s="70">
        <v>0</v>
      </c>
      <c r="K92" s="70">
        <v>0</v>
      </c>
      <c r="L92" s="70">
        <v>0</v>
      </c>
      <c r="M92" s="70">
        <v>0</v>
      </c>
      <c r="N92" s="70">
        <v>100</v>
      </c>
      <c r="O92" s="70">
        <v>0</v>
      </c>
      <c r="P92" s="70">
        <v>0</v>
      </c>
      <c r="Q92" s="68"/>
      <c r="R92" s="69"/>
      <c r="S92" s="69"/>
      <c r="T92" s="69"/>
    </row>
    <row r="93" spans="1:20">
      <c r="A93" s="70">
        <v>89</v>
      </c>
      <c r="B93" s="70"/>
      <c r="C93" s="70" t="s">
        <v>108</v>
      </c>
      <c r="D93" s="70">
        <v>3.6999999999999998E-2</v>
      </c>
      <c r="E93" s="70">
        <v>3.1</v>
      </c>
      <c r="F93" s="70">
        <v>0</v>
      </c>
      <c r="G93" s="70">
        <v>32</v>
      </c>
      <c r="H93" s="70">
        <v>1.03</v>
      </c>
      <c r="I93" s="70">
        <v>0</v>
      </c>
      <c r="J93" s="70">
        <v>0</v>
      </c>
      <c r="K93" s="70">
        <v>0</v>
      </c>
      <c r="L93" s="70">
        <v>0</v>
      </c>
      <c r="M93" s="70">
        <v>0</v>
      </c>
      <c r="N93" s="70">
        <v>100</v>
      </c>
      <c r="O93" s="70">
        <v>0</v>
      </c>
      <c r="P93" s="70">
        <v>0</v>
      </c>
      <c r="Q93" s="68"/>
      <c r="R93" s="69"/>
      <c r="S93" s="69"/>
      <c r="T93" s="69"/>
    </row>
    <row r="94" spans="1:20">
      <c r="A94" s="70">
        <v>90</v>
      </c>
      <c r="B94" s="70"/>
      <c r="C94" s="70" t="s">
        <v>109</v>
      </c>
      <c r="D94" s="70">
        <v>2</v>
      </c>
      <c r="E94" s="70">
        <v>1.9</v>
      </c>
      <c r="F94" s="70">
        <v>0</v>
      </c>
      <c r="G94" s="70">
        <v>120</v>
      </c>
      <c r="H94" s="70">
        <v>1.03</v>
      </c>
      <c r="I94" s="70">
        <v>0</v>
      </c>
      <c r="J94" s="70">
        <v>0</v>
      </c>
      <c r="K94" s="70">
        <v>0</v>
      </c>
      <c r="L94" s="70">
        <v>0</v>
      </c>
      <c r="M94" s="70">
        <v>0</v>
      </c>
      <c r="N94" s="70">
        <v>0</v>
      </c>
      <c r="O94" s="70">
        <v>100</v>
      </c>
      <c r="P94" s="70">
        <v>0</v>
      </c>
      <c r="Q94" s="68"/>
      <c r="R94" s="69"/>
      <c r="S94" s="69"/>
      <c r="T94" s="69"/>
    </row>
    <row r="95" spans="1:20">
      <c r="A95" s="70">
        <v>91</v>
      </c>
      <c r="B95" s="70"/>
      <c r="C95" s="70" t="s">
        <v>110</v>
      </c>
      <c r="D95" s="70">
        <v>2</v>
      </c>
      <c r="E95" s="70">
        <v>1.7</v>
      </c>
      <c r="F95" s="70">
        <v>0</v>
      </c>
      <c r="G95" s="70">
        <v>190</v>
      </c>
      <c r="H95" s="70">
        <v>1.03</v>
      </c>
      <c r="I95" s="70">
        <v>0</v>
      </c>
      <c r="J95" s="70">
        <v>0</v>
      </c>
      <c r="K95" s="70">
        <v>0</v>
      </c>
      <c r="L95" s="70">
        <v>0</v>
      </c>
      <c r="M95" s="70">
        <v>0</v>
      </c>
      <c r="N95" s="70">
        <v>0</v>
      </c>
      <c r="O95" s="70">
        <v>100</v>
      </c>
      <c r="P95" s="70">
        <v>0</v>
      </c>
      <c r="Q95" s="68"/>
      <c r="R95" s="69"/>
      <c r="S95" s="69"/>
      <c r="T95" s="69"/>
    </row>
    <row r="96" spans="1:20">
      <c r="A96" s="70">
        <v>92</v>
      </c>
      <c r="B96" s="70"/>
      <c r="C96" s="70" t="s">
        <v>113</v>
      </c>
      <c r="D96" s="70">
        <v>2</v>
      </c>
      <c r="E96" s="70">
        <v>1.4</v>
      </c>
      <c r="F96" s="70">
        <v>0</v>
      </c>
      <c r="G96" s="70">
        <v>105</v>
      </c>
      <c r="H96" s="70">
        <v>1.03</v>
      </c>
      <c r="I96" s="70">
        <v>0</v>
      </c>
      <c r="J96" s="70">
        <v>50</v>
      </c>
      <c r="K96" s="70">
        <v>0</v>
      </c>
      <c r="L96" s="70">
        <v>0</v>
      </c>
      <c r="M96" s="70">
        <v>0</v>
      </c>
      <c r="N96" s="70">
        <v>0</v>
      </c>
      <c r="O96" s="70">
        <v>100</v>
      </c>
      <c r="P96" s="70">
        <v>0</v>
      </c>
      <c r="Q96" s="68"/>
      <c r="R96" s="69"/>
      <c r="S96" s="69"/>
      <c r="T96" s="69"/>
    </row>
    <row r="97" spans="1:20">
      <c r="A97" s="70">
        <v>93</v>
      </c>
      <c r="B97" s="70"/>
      <c r="C97" s="70" t="s">
        <v>112</v>
      </c>
      <c r="D97" s="70">
        <v>2</v>
      </c>
      <c r="E97" s="70">
        <v>1.3</v>
      </c>
      <c r="F97" s="70">
        <v>0</v>
      </c>
      <c r="G97" s="70">
        <v>97.5</v>
      </c>
      <c r="H97" s="70">
        <v>1.03</v>
      </c>
      <c r="I97" s="70">
        <v>0</v>
      </c>
      <c r="J97" s="70">
        <v>60</v>
      </c>
      <c r="K97" s="70">
        <v>0</v>
      </c>
      <c r="L97" s="70">
        <v>0</v>
      </c>
      <c r="M97" s="70">
        <v>0</v>
      </c>
      <c r="N97" s="70">
        <v>0</v>
      </c>
      <c r="O97" s="70">
        <v>100</v>
      </c>
      <c r="P97" s="70">
        <v>0</v>
      </c>
      <c r="Q97" s="68"/>
      <c r="R97" s="69"/>
      <c r="S97" s="69"/>
      <c r="T97" s="69"/>
    </row>
    <row r="98" spans="1:20">
      <c r="A98" s="70">
        <v>94</v>
      </c>
      <c r="B98" s="70"/>
      <c r="C98" s="70" t="s">
        <v>111</v>
      </c>
      <c r="D98" s="70">
        <v>2</v>
      </c>
      <c r="E98" s="70">
        <v>3.1</v>
      </c>
      <c r="F98" s="70">
        <v>0</v>
      </c>
      <c r="G98" s="70">
        <v>925</v>
      </c>
      <c r="H98" s="70">
        <v>1.1000000000000001</v>
      </c>
      <c r="I98" s="70">
        <v>0</v>
      </c>
      <c r="J98" s="70">
        <v>0</v>
      </c>
      <c r="K98" s="70">
        <v>0</v>
      </c>
      <c r="L98" s="70">
        <v>0</v>
      </c>
      <c r="M98" s="70">
        <v>0</v>
      </c>
      <c r="N98" s="70">
        <v>100</v>
      </c>
      <c r="O98" s="70">
        <v>0</v>
      </c>
      <c r="P98" s="70">
        <v>0</v>
      </c>
      <c r="Q98" s="68"/>
      <c r="R98" s="69"/>
      <c r="S98" s="69"/>
      <c r="T98" s="69"/>
    </row>
    <row r="99" spans="1:20">
      <c r="A99" s="70">
        <v>95</v>
      </c>
      <c r="B99" s="70" t="s">
        <v>114</v>
      </c>
      <c r="C99" s="70" t="s">
        <v>116</v>
      </c>
      <c r="D99" s="70">
        <v>2</v>
      </c>
      <c r="E99" s="70">
        <v>0.94</v>
      </c>
      <c r="F99" s="70">
        <v>-1.7</v>
      </c>
      <c r="G99" s="70">
        <v>536</v>
      </c>
      <c r="H99" s="70">
        <v>1.05</v>
      </c>
      <c r="I99" s="70">
        <v>96</v>
      </c>
      <c r="J99" s="70">
        <v>0</v>
      </c>
      <c r="K99" s="70">
        <v>0</v>
      </c>
      <c r="L99" s="70">
        <v>0</v>
      </c>
      <c r="M99" s="70">
        <v>0</v>
      </c>
      <c r="N99" s="70">
        <v>100</v>
      </c>
      <c r="O99" s="70">
        <v>0</v>
      </c>
      <c r="P99" s="70">
        <v>0</v>
      </c>
      <c r="Q99" s="68"/>
      <c r="R99" s="69"/>
      <c r="S99" s="69"/>
      <c r="T99" s="69"/>
    </row>
    <row r="100" spans="1:20">
      <c r="A100" s="70">
        <v>96</v>
      </c>
      <c r="B100" s="70"/>
      <c r="C100" s="70" t="s">
        <v>118</v>
      </c>
      <c r="D100" s="70">
        <v>2</v>
      </c>
      <c r="E100" s="70">
        <v>2.4</v>
      </c>
      <c r="F100" s="70">
        <v>-0.5</v>
      </c>
      <c r="G100" s="70">
        <v>1375</v>
      </c>
      <c r="H100" s="70">
        <v>1.05</v>
      </c>
      <c r="I100" s="70">
        <v>0</v>
      </c>
      <c r="J100" s="70">
        <v>0</v>
      </c>
      <c r="K100" s="70">
        <v>0</v>
      </c>
      <c r="L100" s="70">
        <v>0</v>
      </c>
      <c r="M100" s="70">
        <v>0</v>
      </c>
      <c r="N100" s="70">
        <v>60</v>
      </c>
      <c r="O100" s="70">
        <v>40</v>
      </c>
      <c r="P100" s="70">
        <v>0</v>
      </c>
      <c r="Q100" s="68"/>
      <c r="R100" s="69"/>
      <c r="S100" s="69"/>
      <c r="T100" s="69"/>
    </row>
    <row r="101" spans="1:20">
      <c r="A101" s="70">
        <v>97</v>
      </c>
      <c r="B101" s="70"/>
      <c r="C101" s="70" t="s">
        <v>385</v>
      </c>
      <c r="D101" s="70">
        <v>2</v>
      </c>
      <c r="E101" s="70">
        <v>6.5</v>
      </c>
      <c r="F101" s="70">
        <v>0</v>
      </c>
      <c r="G101" s="70">
        <v>369</v>
      </c>
      <c r="H101" s="70">
        <v>1.05</v>
      </c>
      <c r="I101" s="70">
        <v>0</v>
      </c>
      <c r="J101" s="70">
        <v>0</v>
      </c>
      <c r="K101" s="70">
        <v>0</v>
      </c>
      <c r="L101" s="70">
        <v>0</v>
      </c>
      <c r="M101" s="70">
        <v>0</v>
      </c>
      <c r="N101" s="70">
        <v>0</v>
      </c>
      <c r="O101" s="70">
        <v>100</v>
      </c>
      <c r="P101" s="70">
        <v>0</v>
      </c>
      <c r="Q101" s="68"/>
      <c r="R101" s="69"/>
      <c r="S101" s="69"/>
      <c r="T101" s="69"/>
    </row>
    <row r="102" spans="1:20">
      <c r="A102">
        <v>98</v>
      </c>
      <c r="B102" t="s">
        <v>301</v>
      </c>
      <c r="C102" s="3" t="s">
        <v>184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20">
      <c r="A103">
        <v>99</v>
      </c>
      <c r="C103" s="3" t="s">
        <v>185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20">
      <c r="A104">
        <v>100</v>
      </c>
      <c r="C104" s="3" t="s">
        <v>186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20">
      <c r="A105">
        <v>101</v>
      </c>
      <c r="C105" s="3" t="s">
        <v>187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20">
      <c r="A106">
        <v>102</v>
      </c>
      <c r="C106" s="3" t="s">
        <v>188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20">
      <c r="A107">
        <v>103</v>
      </c>
      <c r="C107" s="3" t="s">
        <v>300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20" ht="72.5" hidden="1">
      <c r="C108" t="s">
        <v>13</v>
      </c>
      <c r="D108" t="s">
        <v>5</v>
      </c>
      <c r="E108" t="s">
        <v>6</v>
      </c>
      <c r="F108" s="2" t="s">
        <v>183</v>
      </c>
      <c r="G108" t="s">
        <v>0</v>
      </c>
      <c r="H108" t="s">
        <v>7</v>
      </c>
      <c r="I108" t="s">
        <v>21</v>
      </c>
      <c r="J108" t="s">
        <v>169</v>
      </c>
      <c r="K108" s="2" t="s">
        <v>14</v>
      </c>
      <c r="L108" s="2" t="s">
        <v>182</v>
      </c>
      <c r="M108" s="2" t="s">
        <v>15</v>
      </c>
      <c r="N108" s="2" t="s">
        <v>16</v>
      </c>
      <c r="O108" s="2" t="s">
        <v>18</v>
      </c>
    </row>
    <row r="109" spans="1:20" hidden="1">
      <c r="C109" t="s">
        <v>4</v>
      </c>
      <c r="D109" t="s">
        <v>8</v>
      </c>
      <c r="E109" s="1" t="s">
        <v>9</v>
      </c>
      <c r="F109" t="s">
        <v>12</v>
      </c>
      <c r="H109" t="s">
        <v>10</v>
      </c>
      <c r="I109" t="s">
        <v>10</v>
      </c>
      <c r="J109" t="s">
        <v>10</v>
      </c>
      <c r="K109" t="s">
        <v>10</v>
      </c>
      <c r="L109" t="s">
        <v>10</v>
      </c>
      <c r="M109" t="s">
        <v>10</v>
      </c>
      <c r="N109" t="s">
        <v>10</v>
      </c>
      <c r="O109" t="s">
        <v>10</v>
      </c>
    </row>
    <row r="110" spans="1:20" hidden="1"/>
    <row r="111" spans="1:20" hidden="1"/>
    <row r="112" spans="1:20" hidden="1"/>
    <row r="113" spans="2:27" hidden="1"/>
    <row r="114" spans="2:27" hidden="1"/>
    <row r="115" spans="2:27" hidden="1"/>
    <row r="116" spans="2:27" hidden="1"/>
    <row r="117" spans="2:27" ht="116" hidden="1">
      <c r="B117" t="s">
        <v>194</v>
      </c>
      <c r="F117" t="s">
        <v>13</v>
      </c>
      <c r="G117" t="s">
        <v>5</v>
      </c>
      <c r="H117" t="s">
        <v>6</v>
      </c>
      <c r="I117" t="s">
        <v>11</v>
      </c>
      <c r="J117" t="s">
        <v>0</v>
      </c>
      <c r="K117" t="s">
        <v>7</v>
      </c>
      <c r="L117" t="s">
        <v>21</v>
      </c>
      <c r="M117" t="s">
        <v>169</v>
      </c>
      <c r="N117" s="2" t="s">
        <v>14</v>
      </c>
      <c r="O117" s="2" t="s">
        <v>17</v>
      </c>
      <c r="P117" s="2" t="s">
        <v>15</v>
      </c>
      <c r="Q117" s="2" t="s">
        <v>16</v>
      </c>
      <c r="R117" s="2" t="s">
        <v>18</v>
      </c>
      <c r="S117" s="2" t="s">
        <v>209</v>
      </c>
      <c r="T117" s="2" t="s">
        <v>6</v>
      </c>
      <c r="U117" s="2" t="s">
        <v>89</v>
      </c>
      <c r="V117" s="2" t="s">
        <v>237</v>
      </c>
      <c r="W117" s="2" t="s">
        <v>210</v>
      </c>
      <c r="X117" s="2" t="s">
        <v>211</v>
      </c>
    </row>
    <row r="118" spans="2:27" hidden="1">
      <c r="E118" t="s">
        <v>191</v>
      </c>
      <c r="F118" t="s">
        <v>4</v>
      </c>
      <c r="G118" t="s">
        <v>8</v>
      </c>
      <c r="H118" s="1" t="s">
        <v>9</v>
      </c>
      <c r="I118" t="s">
        <v>12</v>
      </c>
      <c r="K118" t="s">
        <v>10</v>
      </c>
      <c r="L118" t="s">
        <v>10</v>
      </c>
      <c r="M118" t="s">
        <v>10</v>
      </c>
      <c r="N118" t="s">
        <v>10</v>
      </c>
      <c r="O118" t="s">
        <v>10</v>
      </c>
      <c r="P118" t="s">
        <v>10</v>
      </c>
      <c r="Q118" t="s">
        <v>10</v>
      </c>
      <c r="R118" t="s">
        <v>10</v>
      </c>
      <c r="S118" t="s">
        <v>12</v>
      </c>
      <c r="T118" t="s">
        <v>12</v>
      </c>
      <c r="U118" t="s">
        <v>207</v>
      </c>
      <c r="V118" t="s">
        <v>77</v>
      </c>
      <c r="W118" t="s">
        <v>204</v>
      </c>
      <c r="X118" s="1" t="s">
        <v>205</v>
      </c>
    </row>
    <row r="119" spans="2:27" hidden="1">
      <c r="B119" t="s">
        <v>172</v>
      </c>
      <c r="C119" t="str">
        <f t="shared" ref="C119:C128" si="0">VLOOKUP(D119,$A$5:$P$107,3)</f>
        <v>Materiaali/Tyhjä</v>
      </c>
      <c r="D119">
        <v>1</v>
      </c>
      <c r="E119">
        <f>Laskuri!E11</f>
        <v>0</v>
      </c>
      <c r="F119">
        <f>VLOOKUP(D119,A5:P107,4)</f>
        <v>100</v>
      </c>
      <c r="G119">
        <f t="shared" ref="G119:G128" si="1">VLOOKUP(D119,$A$5:$P$107,5)</f>
        <v>0</v>
      </c>
      <c r="H119">
        <f t="shared" ref="H119:H128" si="2">VLOOKUP(D119,$A$5:$P$107,6)</f>
        <v>0</v>
      </c>
      <c r="I119">
        <f t="shared" ref="I119:I128" si="3">VLOOKUP(D119,$A$5:$P$107,7)</f>
        <v>0</v>
      </c>
      <c r="J119">
        <f t="shared" ref="J119:J128" si="4">VLOOKUP(D119,$A$5:$P$107,8)</f>
        <v>0</v>
      </c>
      <c r="K119">
        <f t="shared" ref="K119:K128" si="5">VLOOKUP(D119,$A$5:$P$107,9)</f>
        <v>0</v>
      </c>
      <c r="L119">
        <f t="shared" ref="L119:L128" si="6">VLOOKUP(D119,$A$5:$P$107,10)</f>
        <v>0</v>
      </c>
      <c r="M119">
        <f t="shared" ref="M119:M128" si="7">VLOOKUP(D119,$A$5:$P$107,11)</f>
        <v>0</v>
      </c>
      <c r="N119">
        <f t="shared" ref="N119:N128" si="8">VLOOKUP(D119,$A$5:$P$107,12)</f>
        <v>0</v>
      </c>
      <c r="O119">
        <f t="shared" ref="O119:O128" si="9">VLOOKUP(D119,$A$5:$P$107,13)</f>
        <v>0</v>
      </c>
      <c r="P119">
        <f t="shared" ref="P119:P128" si="10">VLOOKUP(D119,$A$5:$P$107,14)</f>
        <v>0</v>
      </c>
      <c r="Q119">
        <f t="shared" ref="Q119:Q128" si="11">VLOOKUP(D119,$A$5:$P$107,15)</f>
        <v>0</v>
      </c>
      <c r="R119">
        <f t="shared" ref="R119:R128" si="12">VLOOKUP(D119,$A$5:$P$107,16)</f>
        <v>0</v>
      </c>
      <c r="S119">
        <f t="shared" ref="S119:S127" si="13">G119*I119</f>
        <v>0</v>
      </c>
      <c r="T119">
        <f t="shared" ref="T119:T127" si="14">H119*I119</f>
        <v>0</v>
      </c>
      <c r="U119">
        <f>I119/1000</f>
        <v>0</v>
      </c>
      <c r="V119">
        <f>U119*E119</f>
        <v>0</v>
      </c>
      <c r="W119">
        <f>G119*V119</f>
        <v>0</v>
      </c>
      <c r="X119">
        <f>H119*V119</f>
        <v>0</v>
      </c>
    </row>
    <row r="120" spans="2:27" hidden="1">
      <c r="B120" t="s">
        <v>173</v>
      </c>
      <c r="C120" t="str">
        <f t="shared" si="0"/>
        <v>Materiaali/Tyhjä</v>
      </c>
      <c r="D120">
        <v>1</v>
      </c>
      <c r="E120">
        <f>Laskuri!E16</f>
        <v>0</v>
      </c>
      <c r="F120">
        <f>VLOOKUP(D120,A5:P107,4)</f>
        <v>100</v>
      </c>
      <c r="G120">
        <f t="shared" si="1"/>
        <v>0</v>
      </c>
      <c r="H120">
        <f t="shared" si="2"/>
        <v>0</v>
      </c>
      <c r="I120">
        <f t="shared" si="3"/>
        <v>0</v>
      </c>
      <c r="J120">
        <f t="shared" si="4"/>
        <v>0</v>
      </c>
      <c r="K120">
        <f t="shared" si="5"/>
        <v>0</v>
      </c>
      <c r="L120">
        <f t="shared" si="6"/>
        <v>0</v>
      </c>
      <c r="M120">
        <f t="shared" si="7"/>
        <v>0</v>
      </c>
      <c r="N120">
        <f t="shared" si="8"/>
        <v>0</v>
      </c>
      <c r="O120">
        <f t="shared" si="9"/>
        <v>0</v>
      </c>
      <c r="P120">
        <f t="shared" si="10"/>
        <v>0</v>
      </c>
      <c r="Q120">
        <f t="shared" si="11"/>
        <v>0</v>
      </c>
      <c r="R120">
        <f t="shared" si="12"/>
        <v>0</v>
      </c>
      <c r="S120">
        <f t="shared" si="13"/>
        <v>0</v>
      </c>
      <c r="T120">
        <f t="shared" si="14"/>
        <v>0</v>
      </c>
      <c r="U120">
        <f t="shared" ref="U120:U127" si="15">I120/1000</f>
        <v>0</v>
      </c>
      <c r="V120">
        <f t="shared" ref="V120:V127" si="16">U120*E120</f>
        <v>0</v>
      </c>
      <c r="W120">
        <f>G120*V120</f>
        <v>0</v>
      </c>
      <c r="X120">
        <f t="shared" ref="X120:X128" si="17">H120*V120</f>
        <v>0</v>
      </c>
    </row>
    <row r="121" spans="2:27" hidden="1">
      <c r="B121" t="s">
        <v>174</v>
      </c>
      <c r="C121" t="str">
        <f t="shared" si="0"/>
        <v>Materiaali/Tyhjä</v>
      </c>
      <c r="D121">
        <v>1</v>
      </c>
      <c r="E121">
        <f>Laskuri!E21</f>
        <v>0</v>
      </c>
      <c r="F121">
        <f>VLOOKUP(D121,A5:P107,4)</f>
        <v>100</v>
      </c>
      <c r="G121">
        <f t="shared" si="1"/>
        <v>0</v>
      </c>
      <c r="H121">
        <f t="shared" si="2"/>
        <v>0</v>
      </c>
      <c r="I121">
        <f t="shared" si="3"/>
        <v>0</v>
      </c>
      <c r="J121">
        <f t="shared" si="4"/>
        <v>0</v>
      </c>
      <c r="K121">
        <f t="shared" si="5"/>
        <v>0</v>
      </c>
      <c r="L121">
        <f t="shared" si="6"/>
        <v>0</v>
      </c>
      <c r="M121">
        <f t="shared" si="7"/>
        <v>0</v>
      </c>
      <c r="N121">
        <f t="shared" si="8"/>
        <v>0</v>
      </c>
      <c r="O121">
        <f t="shared" si="9"/>
        <v>0</v>
      </c>
      <c r="P121">
        <f t="shared" si="10"/>
        <v>0</v>
      </c>
      <c r="Q121">
        <f t="shared" si="11"/>
        <v>0</v>
      </c>
      <c r="R121">
        <f t="shared" si="12"/>
        <v>0</v>
      </c>
      <c r="S121">
        <f t="shared" si="13"/>
        <v>0</v>
      </c>
      <c r="T121">
        <f t="shared" si="14"/>
        <v>0</v>
      </c>
      <c r="U121">
        <f t="shared" si="15"/>
        <v>0</v>
      </c>
      <c r="V121">
        <f t="shared" si="16"/>
        <v>0</v>
      </c>
      <c r="W121">
        <f t="shared" ref="W121:W128" si="18">G121*V121</f>
        <v>0</v>
      </c>
      <c r="X121">
        <f t="shared" si="17"/>
        <v>0</v>
      </c>
    </row>
    <row r="122" spans="2:27" hidden="1">
      <c r="B122" t="s">
        <v>175</v>
      </c>
      <c r="C122" t="str">
        <f t="shared" si="0"/>
        <v>Materiaali/Tyhjä</v>
      </c>
      <c r="D122">
        <v>1</v>
      </c>
      <c r="E122">
        <f>Laskuri!E27</f>
        <v>0</v>
      </c>
      <c r="F122">
        <f>VLOOKUP(D122,A5:P107,4)</f>
        <v>100</v>
      </c>
      <c r="G122">
        <f t="shared" si="1"/>
        <v>0</v>
      </c>
      <c r="H122">
        <f t="shared" si="2"/>
        <v>0</v>
      </c>
      <c r="I122">
        <f t="shared" si="3"/>
        <v>0</v>
      </c>
      <c r="J122">
        <f t="shared" si="4"/>
        <v>0</v>
      </c>
      <c r="K122">
        <f t="shared" si="5"/>
        <v>0</v>
      </c>
      <c r="L122">
        <f t="shared" si="6"/>
        <v>0</v>
      </c>
      <c r="M122">
        <f t="shared" si="7"/>
        <v>0</v>
      </c>
      <c r="N122">
        <f t="shared" si="8"/>
        <v>0</v>
      </c>
      <c r="O122">
        <f t="shared" si="9"/>
        <v>0</v>
      </c>
      <c r="P122">
        <f t="shared" si="10"/>
        <v>0</v>
      </c>
      <c r="Q122">
        <f t="shared" si="11"/>
        <v>0</v>
      </c>
      <c r="R122">
        <f t="shared" si="12"/>
        <v>0</v>
      </c>
      <c r="S122">
        <f t="shared" si="13"/>
        <v>0</v>
      </c>
      <c r="T122">
        <f t="shared" si="14"/>
        <v>0</v>
      </c>
      <c r="U122">
        <f t="shared" si="15"/>
        <v>0</v>
      </c>
      <c r="V122">
        <f t="shared" si="16"/>
        <v>0</v>
      </c>
      <c r="W122">
        <f t="shared" si="18"/>
        <v>0</v>
      </c>
      <c r="X122">
        <f t="shared" si="17"/>
        <v>0</v>
      </c>
    </row>
    <row r="123" spans="2:27" hidden="1">
      <c r="B123" t="s">
        <v>176</v>
      </c>
      <c r="C123" t="str">
        <f t="shared" si="0"/>
        <v>Materiaali/Tyhjä</v>
      </c>
      <c r="D123">
        <v>1</v>
      </c>
      <c r="E123">
        <f>Laskuri!E32</f>
        <v>0</v>
      </c>
      <c r="F123">
        <f>VLOOKUP(D123,A5:P107,4)</f>
        <v>100</v>
      </c>
      <c r="G123">
        <f t="shared" si="1"/>
        <v>0</v>
      </c>
      <c r="H123">
        <f t="shared" si="2"/>
        <v>0</v>
      </c>
      <c r="I123">
        <f t="shared" si="3"/>
        <v>0</v>
      </c>
      <c r="J123">
        <f t="shared" si="4"/>
        <v>0</v>
      </c>
      <c r="K123">
        <f t="shared" si="5"/>
        <v>0</v>
      </c>
      <c r="L123">
        <f t="shared" si="6"/>
        <v>0</v>
      </c>
      <c r="M123">
        <f t="shared" si="7"/>
        <v>0</v>
      </c>
      <c r="N123">
        <f t="shared" si="8"/>
        <v>0</v>
      </c>
      <c r="O123">
        <f t="shared" si="9"/>
        <v>0</v>
      </c>
      <c r="P123">
        <f t="shared" si="10"/>
        <v>0</v>
      </c>
      <c r="Q123">
        <f t="shared" si="11"/>
        <v>0</v>
      </c>
      <c r="R123">
        <f t="shared" si="12"/>
        <v>0</v>
      </c>
      <c r="S123">
        <f t="shared" si="13"/>
        <v>0</v>
      </c>
      <c r="T123">
        <f t="shared" si="14"/>
        <v>0</v>
      </c>
      <c r="U123">
        <f t="shared" si="15"/>
        <v>0</v>
      </c>
      <c r="V123">
        <f t="shared" si="16"/>
        <v>0</v>
      </c>
      <c r="W123">
        <f t="shared" si="18"/>
        <v>0</v>
      </c>
      <c r="X123">
        <f t="shared" si="17"/>
        <v>0</v>
      </c>
    </row>
    <row r="124" spans="2:27" hidden="1">
      <c r="B124" t="s">
        <v>177</v>
      </c>
      <c r="C124" t="str">
        <f t="shared" si="0"/>
        <v>Materiaali/Tyhjä</v>
      </c>
      <c r="D124">
        <v>1</v>
      </c>
      <c r="E124">
        <f>Laskuri!E38</f>
        <v>0</v>
      </c>
      <c r="F124">
        <f>VLOOKUP(D124,A5:P107,4)</f>
        <v>100</v>
      </c>
      <c r="G124">
        <f t="shared" si="1"/>
        <v>0</v>
      </c>
      <c r="H124">
        <f t="shared" si="2"/>
        <v>0</v>
      </c>
      <c r="I124">
        <f t="shared" si="3"/>
        <v>0</v>
      </c>
      <c r="J124">
        <f t="shared" si="4"/>
        <v>0</v>
      </c>
      <c r="K124">
        <f t="shared" si="5"/>
        <v>0</v>
      </c>
      <c r="L124">
        <f t="shared" si="6"/>
        <v>0</v>
      </c>
      <c r="M124">
        <f t="shared" si="7"/>
        <v>0</v>
      </c>
      <c r="N124">
        <f t="shared" si="8"/>
        <v>0</v>
      </c>
      <c r="O124">
        <f t="shared" si="9"/>
        <v>0</v>
      </c>
      <c r="P124">
        <f t="shared" si="10"/>
        <v>0</v>
      </c>
      <c r="Q124">
        <f t="shared" si="11"/>
        <v>0</v>
      </c>
      <c r="R124">
        <f t="shared" si="12"/>
        <v>0</v>
      </c>
      <c r="S124">
        <f t="shared" si="13"/>
        <v>0</v>
      </c>
      <c r="T124">
        <f t="shared" si="14"/>
        <v>0</v>
      </c>
      <c r="U124">
        <f t="shared" si="15"/>
        <v>0</v>
      </c>
      <c r="V124">
        <f t="shared" si="16"/>
        <v>0</v>
      </c>
      <c r="W124">
        <f t="shared" si="18"/>
        <v>0</v>
      </c>
      <c r="X124">
        <f>H124*V124</f>
        <v>0</v>
      </c>
    </row>
    <row r="125" spans="2:27" hidden="1">
      <c r="B125" t="s">
        <v>178</v>
      </c>
      <c r="C125" t="str">
        <f t="shared" si="0"/>
        <v>Materiaali/Tyhjä</v>
      </c>
      <c r="D125">
        <v>1</v>
      </c>
      <c r="E125">
        <f>Laskuri!E43</f>
        <v>0</v>
      </c>
      <c r="F125">
        <f>VLOOKUP(D125,A5:P107,4)</f>
        <v>100</v>
      </c>
      <c r="G125">
        <f t="shared" si="1"/>
        <v>0</v>
      </c>
      <c r="H125">
        <f t="shared" si="2"/>
        <v>0</v>
      </c>
      <c r="I125">
        <f t="shared" si="3"/>
        <v>0</v>
      </c>
      <c r="J125">
        <f t="shared" si="4"/>
        <v>0</v>
      </c>
      <c r="K125">
        <f t="shared" si="5"/>
        <v>0</v>
      </c>
      <c r="L125">
        <f t="shared" si="6"/>
        <v>0</v>
      </c>
      <c r="M125">
        <f t="shared" si="7"/>
        <v>0</v>
      </c>
      <c r="N125">
        <f t="shared" si="8"/>
        <v>0</v>
      </c>
      <c r="O125">
        <f t="shared" si="9"/>
        <v>0</v>
      </c>
      <c r="P125">
        <f t="shared" si="10"/>
        <v>0</v>
      </c>
      <c r="Q125">
        <f t="shared" si="11"/>
        <v>0</v>
      </c>
      <c r="R125">
        <f t="shared" si="12"/>
        <v>0</v>
      </c>
      <c r="S125">
        <f t="shared" si="13"/>
        <v>0</v>
      </c>
      <c r="T125">
        <f t="shared" si="14"/>
        <v>0</v>
      </c>
      <c r="U125">
        <f t="shared" si="15"/>
        <v>0</v>
      </c>
      <c r="V125">
        <f t="shared" si="16"/>
        <v>0</v>
      </c>
      <c r="W125">
        <f t="shared" si="18"/>
        <v>0</v>
      </c>
      <c r="X125">
        <f t="shared" si="17"/>
        <v>0</v>
      </c>
      <c r="AA125" t="s">
        <v>352</v>
      </c>
    </row>
    <row r="126" spans="2:27" hidden="1">
      <c r="B126" t="s">
        <v>179</v>
      </c>
      <c r="C126" t="str">
        <f t="shared" si="0"/>
        <v>Materiaali/Tyhjä</v>
      </c>
      <c r="D126">
        <v>1</v>
      </c>
      <c r="E126">
        <f>Laskuri!E48</f>
        <v>0</v>
      </c>
      <c r="F126">
        <f>VLOOKUP(D126,A5:P107,4)</f>
        <v>100</v>
      </c>
      <c r="G126">
        <f t="shared" si="1"/>
        <v>0</v>
      </c>
      <c r="H126">
        <f t="shared" si="2"/>
        <v>0</v>
      </c>
      <c r="I126">
        <f t="shared" si="3"/>
        <v>0</v>
      </c>
      <c r="J126">
        <f t="shared" si="4"/>
        <v>0</v>
      </c>
      <c r="K126">
        <f t="shared" si="5"/>
        <v>0</v>
      </c>
      <c r="L126">
        <f t="shared" si="6"/>
        <v>0</v>
      </c>
      <c r="M126">
        <f t="shared" si="7"/>
        <v>0</v>
      </c>
      <c r="N126">
        <f t="shared" si="8"/>
        <v>0</v>
      </c>
      <c r="O126">
        <f t="shared" si="9"/>
        <v>0</v>
      </c>
      <c r="P126">
        <f t="shared" si="10"/>
        <v>0</v>
      </c>
      <c r="Q126">
        <f t="shared" si="11"/>
        <v>0</v>
      </c>
      <c r="R126">
        <f t="shared" si="12"/>
        <v>0</v>
      </c>
      <c r="S126">
        <f t="shared" si="13"/>
        <v>0</v>
      </c>
      <c r="T126">
        <f t="shared" si="14"/>
        <v>0</v>
      </c>
      <c r="U126">
        <f t="shared" si="15"/>
        <v>0</v>
      </c>
      <c r="V126">
        <f t="shared" si="16"/>
        <v>0</v>
      </c>
      <c r="W126">
        <f>G126*V126</f>
        <v>0</v>
      </c>
      <c r="X126">
        <f t="shared" si="17"/>
        <v>0</v>
      </c>
    </row>
    <row r="127" spans="2:27" hidden="1">
      <c r="B127" t="s">
        <v>180</v>
      </c>
      <c r="C127" t="str">
        <f t="shared" si="0"/>
        <v>Materiaali/Tyhjä</v>
      </c>
      <c r="D127">
        <v>1</v>
      </c>
      <c r="E127">
        <f>Laskuri!E53</f>
        <v>0</v>
      </c>
      <c r="F127">
        <f>VLOOKUP(D127,A5:P107,4)</f>
        <v>100</v>
      </c>
      <c r="G127">
        <f t="shared" si="1"/>
        <v>0</v>
      </c>
      <c r="H127">
        <f t="shared" si="2"/>
        <v>0</v>
      </c>
      <c r="I127">
        <f t="shared" si="3"/>
        <v>0</v>
      </c>
      <c r="J127">
        <f t="shared" si="4"/>
        <v>0</v>
      </c>
      <c r="K127">
        <f t="shared" si="5"/>
        <v>0</v>
      </c>
      <c r="L127">
        <f t="shared" si="6"/>
        <v>0</v>
      </c>
      <c r="M127">
        <f t="shared" si="7"/>
        <v>0</v>
      </c>
      <c r="N127">
        <f t="shared" si="8"/>
        <v>0</v>
      </c>
      <c r="O127">
        <f t="shared" si="9"/>
        <v>0</v>
      </c>
      <c r="P127">
        <f t="shared" si="10"/>
        <v>0</v>
      </c>
      <c r="Q127">
        <f t="shared" si="11"/>
        <v>0</v>
      </c>
      <c r="R127">
        <f t="shared" si="12"/>
        <v>0</v>
      </c>
      <c r="S127">
        <f t="shared" si="13"/>
        <v>0</v>
      </c>
      <c r="T127">
        <f t="shared" si="14"/>
        <v>0</v>
      </c>
      <c r="U127">
        <f t="shared" si="15"/>
        <v>0</v>
      </c>
      <c r="V127">
        <f t="shared" si="16"/>
        <v>0</v>
      </c>
      <c r="W127">
        <f t="shared" si="18"/>
        <v>0</v>
      </c>
      <c r="X127">
        <f t="shared" si="17"/>
        <v>0</v>
      </c>
    </row>
    <row r="128" spans="2:27" hidden="1">
      <c r="B128" t="s">
        <v>181</v>
      </c>
      <c r="C128" t="str">
        <f t="shared" si="0"/>
        <v>Materiaali/Tyhjä</v>
      </c>
      <c r="D128">
        <v>1</v>
      </c>
      <c r="E128">
        <f>Laskuri!E58</f>
        <v>0</v>
      </c>
      <c r="F128">
        <f>VLOOKUP(D128,A5:P107,4)</f>
        <v>100</v>
      </c>
      <c r="G128">
        <f t="shared" si="1"/>
        <v>0</v>
      </c>
      <c r="H128">
        <f t="shared" si="2"/>
        <v>0</v>
      </c>
      <c r="I128">
        <f t="shared" si="3"/>
        <v>0</v>
      </c>
      <c r="J128">
        <f t="shared" si="4"/>
        <v>0</v>
      </c>
      <c r="K128">
        <f t="shared" si="5"/>
        <v>0</v>
      </c>
      <c r="L128">
        <f t="shared" si="6"/>
        <v>0</v>
      </c>
      <c r="M128">
        <f t="shared" si="7"/>
        <v>0</v>
      </c>
      <c r="N128">
        <f t="shared" si="8"/>
        <v>0</v>
      </c>
      <c r="O128">
        <f t="shared" si="9"/>
        <v>0</v>
      </c>
      <c r="P128">
        <f t="shared" si="10"/>
        <v>0</v>
      </c>
      <c r="Q128">
        <f t="shared" si="11"/>
        <v>0</v>
      </c>
      <c r="R128">
        <f t="shared" si="12"/>
        <v>0</v>
      </c>
      <c r="S128">
        <f>G128*I128</f>
        <v>0</v>
      </c>
      <c r="T128">
        <f>H128*I128</f>
        <v>0</v>
      </c>
      <c r="U128">
        <f>I128/1000</f>
        <v>0</v>
      </c>
      <c r="V128">
        <f>U128*E128</f>
        <v>0</v>
      </c>
      <c r="W128">
        <f t="shared" si="18"/>
        <v>0</v>
      </c>
      <c r="X128">
        <f t="shared" si="17"/>
        <v>0</v>
      </c>
    </row>
    <row r="129" spans="2:24" hidden="1">
      <c r="B129" s="6" t="s">
        <v>212</v>
      </c>
      <c r="S129">
        <f t="shared" ref="S129:V129" si="19">SUM(S119:S128)</f>
        <v>0</v>
      </c>
      <c r="T129">
        <f t="shared" si="19"/>
        <v>0</v>
      </c>
      <c r="V129">
        <f t="shared" si="19"/>
        <v>0</v>
      </c>
      <c r="W129">
        <f>SUM(W119:W128)</f>
        <v>0</v>
      </c>
      <c r="X129">
        <f>SUM(X119:X128)</f>
        <v>0</v>
      </c>
    </row>
    <row r="130" spans="2:24" hidden="1">
      <c r="B130" t="s">
        <v>213</v>
      </c>
    </row>
    <row r="131" spans="2:24" hidden="1">
      <c r="B131" t="s">
        <v>195</v>
      </c>
    </row>
    <row r="132" spans="2:24" hidden="1">
      <c r="E132" t="s">
        <v>191</v>
      </c>
      <c r="F132" t="s">
        <v>4</v>
      </c>
      <c r="G132" t="s">
        <v>8</v>
      </c>
      <c r="H132" s="1" t="s">
        <v>9</v>
      </c>
      <c r="I132" t="s">
        <v>12</v>
      </c>
    </row>
    <row r="133" spans="2:24" hidden="1">
      <c r="B133" t="s">
        <v>172</v>
      </c>
      <c r="C133" t="str">
        <f t="shared" ref="C133:C142" si="20">VLOOKUP(D133,$A$5:$P$107,3)</f>
        <v>Materiaali/Tyhjä</v>
      </c>
      <c r="D133">
        <v>1</v>
      </c>
      <c r="E133">
        <f>Laskuri!$P$11</f>
        <v>0</v>
      </c>
      <c r="F133">
        <f t="shared" ref="F133:F142" si="21">VLOOKUP(D133,$A$5:$P$107,4)</f>
        <v>100</v>
      </c>
      <c r="G133">
        <f t="shared" ref="G133:G142" si="22">VLOOKUP(D133,$A$5:$P$107,5)</f>
        <v>0</v>
      </c>
      <c r="H133">
        <f t="shared" ref="H133:H142" si="23">VLOOKUP(D133,$A$5:$P$107,6)</f>
        <v>0</v>
      </c>
      <c r="I133">
        <f t="shared" ref="I133:I142" si="24">VLOOKUP(D133,$A$5:$P$107,7)</f>
        <v>0</v>
      </c>
      <c r="J133">
        <f t="shared" ref="J133:J142" si="25">VLOOKUP(D133,$A$5:$P$107,8)</f>
        <v>0</v>
      </c>
      <c r="K133">
        <f t="shared" ref="K133:K142" si="26">VLOOKUP(D133,$A$5:$P$107,9)</f>
        <v>0</v>
      </c>
      <c r="L133">
        <f t="shared" ref="L133:L142" si="27">VLOOKUP(D133,$A$5:$P$107,10)</f>
        <v>0</v>
      </c>
      <c r="M133">
        <f t="shared" ref="M133:M142" si="28">VLOOKUP(D133,$A$5:$P$107,11)</f>
        <v>0</v>
      </c>
      <c r="N133">
        <f t="shared" ref="N133:N142" si="29">VLOOKUP(D133,$A$5:$P$107,12)</f>
        <v>0</v>
      </c>
      <c r="O133">
        <f t="shared" ref="O133:O142" si="30">VLOOKUP(D133,$A$5:$P$107,13)</f>
        <v>0</v>
      </c>
      <c r="P133">
        <f t="shared" ref="P133:P142" si="31">VLOOKUP(D133,$A$5:$P$107,14)</f>
        <v>0</v>
      </c>
      <c r="Q133">
        <f t="shared" ref="Q133:Q142" si="32">VLOOKUP(D133,$A$5:$P$107,15)</f>
        <v>0</v>
      </c>
      <c r="R133">
        <f t="shared" ref="R133:R142" si="33">VLOOKUP(D133,$A$5:$P$107,16)</f>
        <v>0</v>
      </c>
      <c r="S133">
        <f t="shared" ref="S133:S142" si="34">G133*I133</f>
        <v>0</v>
      </c>
      <c r="T133">
        <f t="shared" ref="T133:T142" si="35">H133*I133</f>
        <v>0</v>
      </c>
      <c r="U133">
        <f>I133/1000</f>
        <v>0</v>
      </c>
      <c r="V133">
        <f>U133*E133</f>
        <v>0</v>
      </c>
      <c r="W133">
        <f>G133*V133</f>
        <v>0</v>
      </c>
      <c r="X133">
        <f>H133*V133</f>
        <v>0</v>
      </c>
    </row>
    <row r="134" spans="2:24" hidden="1">
      <c r="B134" t="s">
        <v>173</v>
      </c>
      <c r="C134" t="str">
        <f t="shared" si="20"/>
        <v>Materiaali/Tyhjä</v>
      </c>
      <c r="D134">
        <v>1</v>
      </c>
      <c r="E134">
        <f>Laskuri!$P$16</f>
        <v>0</v>
      </c>
      <c r="F134">
        <f t="shared" si="21"/>
        <v>100</v>
      </c>
      <c r="G134">
        <f t="shared" si="22"/>
        <v>0</v>
      </c>
      <c r="H134">
        <f t="shared" si="23"/>
        <v>0</v>
      </c>
      <c r="I134">
        <f t="shared" si="24"/>
        <v>0</v>
      </c>
      <c r="J134">
        <f t="shared" si="25"/>
        <v>0</v>
      </c>
      <c r="K134">
        <f t="shared" si="26"/>
        <v>0</v>
      </c>
      <c r="L134">
        <f t="shared" si="27"/>
        <v>0</v>
      </c>
      <c r="M134">
        <f t="shared" si="28"/>
        <v>0</v>
      </c>
      <c r="N134">
        <f t="shared" si="29"/>
        <v>0</v>
      </c>
      <c r="O134">
        <f t="shared" si="30"/>
        <v>0</v>
      </c>
      <c r="P134">
        <f t="shared" si="31"/>
        <v>0</v>
      </c>
      <c r="Q134">
        <f t="shared" si="32"/>
        <v>0</v>
      </c>
      <c r="R134">
        <f t="shared" si="33"/>
        <v>0</v>
      </c>
      <c r="S134">
        <f t="shared" si="34"/>
        <v>0</v>
      </c>
      <c r="T134">
        <f t="shared" si="35"/>
        <v>0</v>
      </c>
      <c r="U134">
        <f t="shared" ref="U134:U142" si="36">I134/1000</f>
        <v>0</v>
      </c>
      <c r="V134">
        <f t="shared" ref="V134:V142" si="37">U134*E134</f>
        <v>0</v>
      </c>
      <c r="W134">
        <f t="shared" ref="W134:W142" si="38">G134*V134</f>
        <v>0</v>
      </c>
      <c r="X134">
        <f t="shared" ref="X134:X142" si="39">H134*V134</f>
        <v>0</v>
      </c>
    </row>
    <row r="135" spans="2:24" hidden="1">
      <c r="B135" t="s">
        <v>174</v>
      </c>
      <c r="C135" t="str">
        <f t="shared" si="20"/>
        <v>Materiaali/Tyhjä</v>
      </c>
      <c r="D135">
        <v>1</v>
      </c>
      <c r="E135">
        <f>Laskuri!$P$21</f>
        <v>0</v>
      </c>
      <c r="F135">
        <f t="shared" si="21"/>
        <v>100</v>
      </c>
      <c r="G135">
        <f t="shared" si="22"/>
        <v>0</v>
      </c>
      <c r="H135">
        <f t="shared" si="23"/>
        <v>0</v>
      </c>
      <c r="I135">
        <f t="shared" si="24"/>
        <v>0</v>
      </c>
      <c r="J135">
        <f t="shared" si="25"/>
        <v>0</v>
      </c>
      <c r="K135">
        <f t="shared" si="26"/>
        <v>0</v>
      </c>
      <c r="L135">
        <f t="shared" si="27"/>
        <v>0</v>
      </c>
      <c r="M135">
        <f t="shared" si="28"/>
        <v>0</v>
      </c>
      <c r="N135">
        <f t="shared" si="29"/>
        <v>0</v>
      </c>
      <c r="O135">
        <f t="shared" si="30"/>
        <v>0</v>
      </c>
      <c r="P135">
        <f t="shared" si="31"/>
        <v>0</v>
      </c>
      <c r="Q135">
        <f t="shared" si="32"/>
        <v>0</v>
      </c>
      <c r="R135">
        <f t="shared" si="33"/>
        <v>0</v>
      </c>
      <c r="S135">
        <f t="shared" si="34"/>
        <v>0</v>
      </c>
      <c r="T135">
        <f t="shared" si="35"/>
        <v>0</v>
      </c>
      <c r="U135">
        <f t="shared" si="36"/>
        <v>0</v>
      </c>
      <c r="V135">
        <f t="shared" si="37"/>
        <v>0</v>
      </c>
      <c r="W135">
        <f t="shared" si="38"/>
        <v>0</v>
      </c>
      <c r="X135">
        <f t="shared" si="39"/>
        <v>0</v>
      </c>
    </row>
    <row r="136" spans="2:24" hidden="1">
      <c r="B136" t="s">
        <v>175</v>
      </c>
      <c r="C136" t="str">
        <f t="shared" si="20"/>
        <v>Materiaali/Tyhjä</v>
      </c>
      <c r="D136">
        <v>1</v>
      </c>
      <c r="E136">
        <f>Laskuri!$P$27</f>
        <v>0</v>
      </c>
      <c r="F136">
        <f t="shared" si="21"/>
        <v>100</v>
      </c>
      <c r="G136">
        <f t="shared" si="22"/>
        <v>0</v>
      </c>
      <c r="H136">
        <f t="shared" si="23"/>
        <v>0</v>
      </c>
      <c r="I136">
        <f t="shared" si="24"/>
        <v>0</v>
      </c>
      <c r="J136">
        <f t="shared" si="25"/>
        <v>0</v>
      </c>
      <c r="K136">
        <f t="shared" si="26"/>
        <v>0</v>
      </c>
      <c r="L136">
        <f t="shared" si="27"/>
        <v>0</v>
      </c>
      <c r="M136">
        <f t="shared" si="28"/>
        <v>0</v>
      </c>
      <c r="N136">
        <f t="shared" si="29"/>
        <v>0</v>
      </c>
      <c r="O136">
        <f t="shared" si="30"/>
        <v>0</v>
      </c>
      <c r="P136">
        <f t="shared" si="31"/>
        <v>0</v>
      </c>
      <c r="Q136">
        <f t="shared" si="32"/>
        <v>0</v>
      </c>
      <c r="R136">
        <f t="shared" si="33"/>
        <v>0</v>
      </c>
      <c r="S136">
        <f t="shared" si="34"/>
        <v>0</v>
      </c>
      <c r="T136">
        <f t="shared" si="35"/>
        <v>0</v>
      </c>
      <c r="U136">
        <f t="shared" si="36"/>
        <v>0</v>
      </c>
      <c r="V136">
        <f t="shared" si="37"/>
        <v>0</v>
      </c>
      <c r="W136">
        <f t="shared" si="38"/>
        <v>0</v>
      </c>
      <c r="X136">
        <f t="shared" si="39"/>
        <v>0</v>
      </c>
    </row>
    <row r="137" spans="2:24" hidden="1">
      <c r="B137" t="s">
        <v>176</v>
      </c>
      <c r="C137" t="str">
        <f t="shared" si="20"/>
        <v>Materiaali/Tyhjä</v>
      </c>
      <c r="D137">
        <v>1</v>
      </c>
      <c r="E137">
        <f>Laskuri!P32</f>
        <v>0</v>
      </c>
      <c r="F137">
        <f t="shared" si="21"/>
        <v>100</v>
      </c>
      <c r="G137">
        <f t="shared" si="22"/>
        <v>0</v>
      </c>
      <c r="H137">
        <f t="shared" si="23"/>
        <v>0</v>
      </c>
      <c r="I137">
        <f t="shared" si="24"/>
        <v>0</v>
      </c>
      <c r="J137">
        <f t="shared" si="25"/>
        <v>0</v>
      </c>
      <c r="K137">
        <f t="shared" si="26"/>
        <v>0</v>
      </c>
      <c r="L137">
        <f t="shared" si="27"/>
        <v>0</v>
      </c>
      <c r="M137">
        <f t="shared" si="28"/>
        <v>0</v>
      </c>
      <c r="N137">
        <f t="shared" si="29"/>
        <v>0</v>
      </c>
      <c r="O137">
        <f t="shared" si="30"/>
        <v>0</v>
      </c>
      <c r="P137">
        <f t="shared" si="31"/>
        <v>0</v>
      </c>
      <c r="Q137">
        <f t="shared" si="32"/>
        <v>0</v>
      </c>
      <c r="R137">
        <f t="shared" si="33"/>
        <v>0</v>
      </c>
      <c r="S137">
        <f t="shared" si="34"/>
        <v>0</v>
      </c>
      <c r="T137">
        <f t="shared" si="35"/>
        <v>0</v>
      </c>
      <c r="U137">
        <f t="shared" si="36"/>
        <v>0</v>
      </c>
      <c r="V137">
        <f t="shared" si="37"/>
        <v>0</v>
      </c>
      <c r="W137">
        <f t="shared" si="38"/>
        <v>0</v>
      </c>
      <c r="X137">
        <f t="shared" si="39"/>
        <v>0</v>
      </c>
    </row>
    <row r="138" spans="2:24" hidden="1">
      <c r="B138" t="s">
        <v>177</v>
      </c>
      <c r="C138" t="str">
        <f t="shared" si="20"/>
        <v>Materiaali/Tyhjä</v>
      </c>
      <c r="D138">
        <v>1</v>
      </c>
      <c r="E138">
        <f>Laskuri!P38</f>
        <v>0</v>
      </c>
      <c r="F138">
        <f t="shared" si="21"/>
        <v>100</v>
      </c>
      <c r="G138">
        <f t="shared" si="22"/>
        <v>0</v>
      </c>
      <c r="H138">
        <f t="shared" si="23"/>
        <v>0</v>
      </c>
      <c r="I138">
        <f t="shared" si="24"/>
        <v>0</v>
      </c>
      <c r="J138">
        <f t="shared" si="25"/>
        <v>0</v>
      </c>
      <c r="K138">
        <f t="shared" si="26"/>
        <v>0</v>
      </c>
      <c r="L138">
        <f t="shared" si="27"/>
        <v>0</v>
      </c>
      <c r="M138">
        <f t="shared" si="28"/>
        <v>0</v>
      </c>
      <c r="N138">
        <f t="shared" si="29"/>
        <v>0</v>
      </c>
      <c r="O138">
        <f t="shared" si="30"/>
        <v>0</v>
      </c>
      <c r="P138">
        <f t="shared" si="31"/>
        <v>0</v>
      </c>
      <c r="Q138">
        <f t="shared" si="32"/>
        <v>0</v>
      </c>
      <c r="R138">
        <f t="shared" si="33"/>
        <v>0</v>
      </c>
      <c r="S138">
        <f t="shared" si="34"/>
        <v>0</v>
      </c>
      <c r="T138">
        <f t="shared" si="35"/>
        <v>0</v>
      </c>
      <c r="U138">
        <f t="shared" si="36"/>
        <v>0</v>
      </c>
      <c r="V138">
        <f t="shared" si="37"/>
        <v>0</v>
      </c>
      <c r="W138">
        <f t="shared" si="38"/>
        <v>0</v>
      </c>
      <c r="X138">
        <f t="shared" si="39"/>
        <v>0</v>
      </c>
    </row>
    <row r="139" spans="2:24" hidden="1">
      <c r="B139" t="s">
        <v>178</v>
      </c>
      <c r="C139" t="str">
        <f t="shared" si="20"/>
        <v>Materiaali/Tyhjä</v>
      </c>
      <c r="D139">
        <v>1</v>
      </c>
      <c r="E139">
        <f>Laskuri!P43</f>
        <v>0</v>
      </c>
      <c r="F139">
        <f t="shared" si="21"/>
        <v>100</v>
      </c>
      <c r="G139">
        <f t="shared" si="22"/>
        <v>0</v>
      </c>
      <c r="H139">
        <f t="shared" si="23"/>
        <v>0</v>
      </c>
      <c r="I139">
        <f t="shared" si="24"/>
        <v>0</v>
      </c>
      <c r="J139">
        <f t="shared" si="25"/>
        <v>0</v>
      </c>
      <c r="K139">
        <f t="shared" si="26"/>
        <v>0</v>
      </c>
      <c r="L139">
        <f t="shared" si="27"/>
        <v>0</v>
      </c>
      <c r="M139">
        <f t="shared" si="28"/>
        <v>0</v>
      </c>
      <c r="N139">
        <f t="shared" si="29"/>
        <v>0</v>
      </c>
      <c r="O139">
        <f t="shared" si="30"/>
        <v>0</v>
      </c>
      <c r="P139">
        <f t="shared" si="31"/>
        <v>0</v>
      </c>
      <c r="Q139">
        <f t="shared" si="32"/>
        <v>0</v>
      </c>
      <c r="R139">
        <f t="shared" si="33"/>
        <v>0</v>
      </c>
      <c r="S139">
        <f t="shared" si="34"/>
        <v>0</v>
      </c>
      <c r="T139">
        <f t="shared" si="35"/>
        <v>0</v>
      </c>
      <c r="U139">
        <f t="shared" si="36"/>
        <v>0</v>
      </c>
      <c r="V139">
        <f t="shared" si="37"/>
        <v>0</v>
      </c>
      <c r="W139">
        <f>G139*V139</f>
        <v>0</v>
      </c>
      <c r="X139">
        <f t="shared" si="39"/>
        <v>0</v>
      </c>
    </row>
    <row r="140" spans="2:24" hidden="1">
      <c r="B140" t="s">
        <v>179</v>
      </c>
      <c r="C140" t="str">
        <f t="shared" si="20"/>
        <v>Materiaali/Tyhjä</v>
      </c>
      <c r="D140">
        <v>1</v>
      </c>
      <c r="E140">
        <f>Laskuri!P48</f>
        <v>0</v>
      </c>
      <c r="F140">
        <f t="shared" si="21"/>
        <v>100</v>
      </c>
      <c r="G140">
        <f t="shared" si="22"/>
        <v>0</v>
      </c>
      <c r="H140">
        <f t="shared" si="23"/>
        <v>0</v>
      </c>
      <c r="I140">
        <f t="shared" si="24"/>
        <v>0</v>
      </c>
      <c r="J140">
        <f t="shared" si="25"/>
        <v>0</v>
      </c>
      <c r="K140">
        <f t="shared" si="26"/>
        <v>0</v>
      </c>
      <c r="L140">
        <f t="shared" si="27"/>
        <v>0</v>
      </c>
      <c r="M140">
        <f t="shared" si="28"/>
        <v>0</v>
      </c>
      <c r="N140">
        <f t="shared" si="29"/>
        <v>0</v>
      </c>
      <c r="O140">
        <f t="shared" si="30"/>
        <v>0</v>
      </c>
      <c r="P140">
        <f t="shared" si="31"/>
        <v>0</v>
      </c>
      <c r="Q140">
        <f t="shared" si="32"/>
        <v>0</v>
      </c>
      <c r="R140">
        <f t="shared" si="33"/>
        <v>0</v>
      </c>
      <c r="S140">
        <f t="shared" si="34"/>
        <v>0</v>
      </c>
      <c r="T140">
        <f t="shared" si="35"/>
        <v>0</v>
      </c>
      <c r="U140">
        <f t="shared" si="36"/>
        <v>0</v>
      </c>
      <c r="V140">
        <f t="shared" si="37"/>
        <v>0</v>
      </c>
      <c r="W140">
        <f t="shared" si="38"/>
        <v>0</v>
      </c>
      <c r="X140">
        <f>H140*V140</f>
        <v>0</v>
      </c>
    </row>
    <row r="141" spans="2:24" hidden="1">
      <c r="B141" t="s">
        <v>180</v>
      </c>
      <c r="C141" t="str">
        <f t="shared" si="20"/>
        <v>Materiaali/Tyhjä</v>
      </c>
      <c r="D141">
        <v>1</v>
      </c>
      <c r="E141">
        <f>Laskuri!P53</f>
        <v>0</v>
      </c>
      <c r="F141">
        <f t="shared" si="21"/>
        <v>100</v>
      </c>
      <c r="G141">
        <f t="shared" si="22"/>
        <v>0</v>
      </c>
      <c r="H141">
        <f t="shared" si="23"/>
        <v>0</v>
      </c>
      <c r="I141">
        <f t="shared" si="24"/>
        <v>0</v>
      </c>
      <c r="J141">
        <f t="shared" si="25"/>
        <v>0</v>
      </c>
      <c r="K141">
        <f t="shared" si="26"/>
        <v>0</v>
      </c>
      <c r="L141">
        <f t="shared" si="27"/>
        <v>0</v>
      </c>
      <c r="M141">
        <f t="shared" si="28"/>
        <v>0</v>
      </c>
      <c r="N141">
        <f t="shared" si="29"/>
        <v>0</v>
      </c>
      <c r="O141">
        <f t="shared" si="30"/>
        <v>0</v>
      </c>
      <c r="P141">
        <f t="shared" si="31"/>
        <v>0</v>
      </c>
      <c r="Q141">
        <f t="shared" si="32"/>
        <v>0</v>
      </c>
      <c r="R141">
        <f t="shared" si="33"/>
        <v>0</v>
      </c>
      <c r="S141">
        <f t="shared" si="34"/>
        <v>0</v>
      </c>
      <c r="T141">
        <f t="shared" si="35"/>
        <v>0</v>
      </c>
      <c r="U141">
        <f t="shared" si="36"/>
        <v>0</v>
      </c>
      <c r="V141">
        <f t="shared" si="37"/>
        <v>0</v>
      </c>
      <c r="W141">
        <f t="shared" si="38"/>
        <v>0</v>
      </c>
      <c r="X141">
        <f t="shared" si="39"/>
        <v>0</v>
      </c>
    </row>
    <row r="142" spans="2:24" hidden="1">
      <c r="B142" t="s">
        <v>181</v>
      </c>
      <c r="C142" t="str">
        <f t="shared" si="20"/>
        <v>Materiaali/Tyhjä</v>
      </c>
      <c r="D142">
        <v>1</v>
      </c>
      <c r="E142">
        <f>Laskuri!P58</f>
        <v>0</v>
      </c>
      <c r="F142">
        <f t="shared" si="21"/>
        <v>100</v>
      </c>
      <c r="G142">
        <f t="shared" si="22"/>
        <v>0</v>
      </c>
      <c r="H142">
        <f t="shared" si="23"/>
        <v>0</v>
      </c>
      <c r="I142">
        <f t="shared" si="24"/>
        <v>0</v>
      </c>
      <c r="J142">
        <f t="shared" si="25"/>
        <v>0</v>
      </c>
      <c r="K142">
        <f t="shared" si="26"/>
        <v>0</v>
      </c>
      <c r="L142">
        <f t="shared" si="27"/>
        <v>0</v>
      </c>
      <c r="M142">
        <f t="shared" si="28"/>
        <v>0</v>
      </c>
      <c r="N142">
        <f t="shared" si="29"/>
        <v>0</v>
      </c>
      <c r="O142">
        <f t="shared" si="30"/>
        <v>0</v>
      </c>
      <c r="P142">
        <f t="shared" si="31"/>
        <v>0</v>
      </c>
      <c r="Q142">
        <f t="shared" si="32"/>
        <v>0</v>
      </c>
      <c r="R142">
        <f t="shared" si="33"/>
        <v>0</v>
      </c>
      <c r="S142">
        <f t="shared" si="34"/>
        <v>0</v>
      </c>
      <c r="T142">
        <f t="shared" si="35"/>
        <v>0</v>
      </c>
      <c r="U142">
        <f t="shared" si="36"/>
        <v>0</v>
      </c>
      <c r="V142">
        <f t="shared" si="37"/>
        <v>0</v>
      </c>
      <c r="W142">
        <f t="shared" si="38"/>
        <v>0</v>
      </c>
      <c r="X142">
        <f t="shared" si="39"/>
        <v>0</v>
      </c>
    </row>
    <row r="143" spans="2:24" hidden="1">
      <c r="C143" s="6" t="s">
        <v>212</v>
      </c>
      <c r="S143">
        <f t="shared" ref="S143:V143" si="40">SUM(S133:S142)</f>
        <v>0</v>
      </c>
      <c r="T143">
        <f t="shared" si="40"/>
        <v>0</v>
      </c>
      <c r="V143">
        <f t="shared" si="40"/>
        <v>0</v>
      </c>
      <c r="W143">
        <f>SUM(W133:W142)</f>
        <v>0</v>
      </c>
      <c r="X143">
        <f>SUM(X133:X142)</f>
        <v>0</v>
      </c>
    </row>
    <row r="150" spans="4:4">
      <c r="D150" s="39"/>
    </row>
  </sheetData>
  <protectedRanges>
    <protectedRange algorithmName="SHA-512" hashValue="z0kemp5FHAJ9U5gGFFy5FcygcTHdZ9/bCT3H7nrEXP/8CDQFUrI0arurkA9yt1FPZF9kFx1V8UPeURA+EylNEg==" saltValue="c472xr4cvxnk7ZBa0jo75A==" spinCount="100000" sqref="C102:P107" name="Omat materiaalit"/>
  </protectedRanges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E8F45-3CA1-4500-9951-12D1A9A624A4}">
  <sheetPr codeName="Taul5"/>
  <dimension ref="A1:BD107"/>
  <sheetViews>
    <sheetView workbookViewId="0">
      <selection activeCell="F15" sqref="F15"/>
    </sheetView>
  </sheetViews>
  <sheetFormatPr defaultRowHeight="14.5"/>
  <sheetData>
    <row r="1" spans="1:56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</row>
    <row r="2" spans="1:56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 t="s">
        <v>121</v>
      </c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 t="s">
        <v>148</v>
      </c>
      <c r="AV2" s="39"/>
      <c r="AW2" s="39"/>
      <c r="AX2" s="39" t="s">
        <v>155</v>
      </c>
      <c r="AY2" s="39"/>
      <c r="AZ2" s="39"/>
      <c r="BA2" s="39"/>
      <c r="BB2" s="39"/>
      <c r="BC2" s="39"/>
      <c r="BD2" s="39"/>
    </row>
    <row r="3" spans="1:56">
      <c r="A3" s="39"/>
      <c r="B3" s="39" t="s">
        <v>24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 t="s">
        <v>126</v>
      </c>
      <c r="P3" s="39" t="s">
        <v>122</v>
      </c>
      <c r="Q3" s="39" t="s">
        <v>123</v>
      </c>
      <c r="R3" s="39" t="s">
        <v>124</v>
      </c>
      <c r="S3" s="39" t="s">
        <v>125</v>
      </c>
      <c r="T3" s="39"/>
      <c r="U3" s="39"/>
      <c r="V3" s="39" t="s">
        <v>126</v>
      </c>
      <c r="W3" s="39" t="s">
        <v>122</v>
      </c>
      <c r="X3" s="39" t="s">
        <v>123</v>
      </c>
      <c r="Y3" s="39" t="s">
        <v>124</v>
      </c>
      <c r="Z3" s="39" t="s">
        <v>125</v>
      </c>
      <c r="AA3" s="39"/>
      <c r="AB3" s="39"/>
      <c r="AC3" s="39" t="s">
        <v>126</v>
      </c>
      <c r="AD3" s="39" t="s">
        <v>122</v>
      </c>
      <c r="AE3" s="39" t="s">
        <v>123</v>
      </c>
      <c r="AF3" s="39" t="s">
        <v>124</v>
      </c>
      <c r="AG3" s="39" t="s">
        <v>125</v>
      </c>
      <c r="AH3" s="39"/>
      <c r="AI3" s="39"/>
      <c r="AJ3" s="39"/>
      <c r="AK3" s="39"/>
      <c r="AL3" s="39" t="s">
        <v>128</v>
      </c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</row>
    <row r="4" spans="1:56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>
        <v>15.34</v>
      </c>
      <c r="AV4" s="39" t="s">
        <v>149</v>
      </c>
      <c r="AW4" s="39"/>
      <c r="AX4" s="39"/>
      <c r="AY4" s="39"/>
      <c r="AZ4" s="39"/>
      <c r="BA4" s="39"/>
      <c r="BB4" s="39"/>
      <c r="BC4" s="39"/>
      <c r="BD4" s="39"/>
    </row>
    <row r="5" spans="1:56">
      <c r="A5" s="39"/>
      <c r="B5" s="39">
        <f>1000/260</f>
        <v>3.8461538461538463</v>
      </c>
      <c r="C5" s="39">
        <f>628*B5</f>
        <v>2415.3846153846152</v>
      </c>
      <c r="D5" s="39" t="s">
        <v>12</v>
      </c>
      <c r="E5" s="39"/>
      <c r="F5" s="39"/>
      <c r="G5" s="39"/>
      <c r="H5" s="39" t="s">
        <v>56</v>
      </c>
      <c r="I5" s="39" t="s">
        <v>57</v>
      </c>
      <c r="J5" s="39" t="s">
        <v>58</v>
      </c>
      <c r="K5" s="39"/>
      <c r="L5" s="39"/>
      <c r="M5" s="39"/>
      <c r="N5" s="39"/>
      <c r="O5" s="39">
        <v>3.6999999999999998E-2</v>
      </c>
      <c r="P5" s="39"/>
      <c r="Q5" s="39">
        <v>150</v>
      </c>
      <c r="R5" s="39"/>
      <c r="S5" s="39">
        <v>0.24049999999999999</v>
      </c>
      <c r="T5" s="39"/>
      <c r="U5" s="39"/>
      <c r="V5" s="39">
        <v>3.3000000000000002E-2</v>
      </c>
      <c r="W5" s="39"/>
      <c r="X5" s="39">
        <v>150</v>
      </c>
      <c r="Y5" s="39"/>
      <c r="Z5" s="39">
        <v>0.217</v>
      </c>
      <c r="AA5" s="39"/>
      <c r="AB5" s="39"/>
      <c r="AC5" s="39">
        <v>3.1E-2</v>
      </c>
      <c r="AD5" s="39"/>
      <c r="AE5" s="39">
        <v>150</v>
      </c>
      <c r="AF5" s="39"/>
      <c r="AG5" s="39">
        <v>0.2051</v>
      </c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>
        <v>5.29</v>
      </c>
      <c r="AV5" s="39" t="s">
        <v>150</v>
      </c>
      <c r="AW5" s="39"/>
      <c r="AX5" s="39"/>
      <c r="AY5" s="39"/>
      <c r="AZ5" s="39"/>
      <c r="BA5" s="39"/>
      <c r="BB5" s="39"/>
      <c r="BC5" s="39"/>
      <c r="BD5" s="39"/>
    </row>
    <row r="6" spans="1:56">
      <c r="A6" s="39"/>
      <c r="B6" s="39"/>
      <c r="C6" s="39"/>
      <c r="D6" s="39"/>
      <c r="E6" s="39"/>
      <c r="F6" s="39"/>
      <c r="G6" s="39"/>
      <c r="H6" s="39">
        <v>47</v>
      </c>
      <c r="I6" s="39">
        <v>2.8</v>
      </c>
      <c r="J6" s="39">
        <f>1000/135</f>
        <v>7.4074074074074074</v>
      </c>
      <c r="K6" s="39"/>
      <c r="L6" s="39"/>
      <c r="M6" s="39"/>
      <c r="N6" s="39"/>
      <c r="O6" s="39">
        <v>3.6999999999999998E-2</v>
      </c>
      <c r="P6" s="39"/>
      <c r="Q6" s="39">
        <v>175</v>
      </c>
      <c r="R6" s="39"/>
      <c r="S6" s="39">
        <v>0.20930000000000001</v>
      </c>
      <c r="T6" s="39"/>
      <c r="U6" s="39"/>
      <c r="V6" s="39">
        <v>3.3000000000000002E-2</v>
      </c>
      <c r="W6" s="39"/>
      <c r="X6" s="39">
        <v>175</v>
      </c>
      <c r="Y6" s="39"/>
      <c r="Z6" s="39">
        <v>0.1888</v>
      </c>
      <c r="AA6" s="39"/>
      <c r="AB6" s="39"/>
      <c r="AC6" s="39">
        <v>3.1E-2</v>
      </c>
      <c r="AD6" s="39"/>
      <c r="AE6" s="39">
        <v>175</v>
      </c>
      <c r="AF6" s="39"/>
      <c r="AG6" s="39">
        <v>0.17849999999999999</v>
      </c>
      <c r="AH6" s="39"/>
      <c r="AI6" s="39"/>
      <c r="AJ6" s="39"/>
      <c r="AK6" s="39"/>
      <c r="AL6" s="39" t="s">
        <v>140</v>
      </c>
      <c r="AM6" s="39">
        <v>3.9</v>
      </c>
      <c r="AN6" s="39" t="s">
        <v>141</v>
      </c>
      <c r="AO6" s="39"/>
      <c r="AP6" s="39" t="s">
        <v>153</v>
      </c>
      <c r="AQ6" s="39">
        <f>6.88/4.92</f>
        <v>1.3983739837398375</v>
      </c>
      <c r="AR6" s="39"/>
      <c r="AS6" s="39"/>
      <c r="AT6" s="39"/>
      <c r="AU6" s="39">
        <v>0.1</v>
      </c>
      <c r="AV6" s="39" t="s">
        <v>78</v>
      </c>
      <c r="AW6" s="39"/>
      <c r="AX6" s="39"/>
      <c r="AY6" s="39"/>
      <c r="AZ6" s="39"/>
      <c r="BA6" s="39"/>
      <c r="BB6" s="39"/>
      <c r="BC6" s="39"/>
      <c r="BD6" s="39"/>
    </row>
    <row r="7" spans="1:56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>
        <v>3.6999999999999998E-2</v>
      </c>
      <c r="P7" s="39"/>
      <c r="Q7" s="39">
        <v>200</v>
      </c>
      <c r="R7" s="39"/>
      <c r="S7" s="39">
        <v>0.18559999999999999</v>
      </c>
      <c r="T7" s="39"/>
      <c r="U7" s="39"/>
      <c r="V7" s="39">
        <v>3.3000000000000002E-2</v>
      </c>
      <c r="W7" s="39"/>
      <c r="X7" s="39">
        <v>200</v>
      </c>
      <c r="Y7" s="39"/>
      <c r="Z7" s="39">
        <v>0.16739999999999999</v>
      </c>
      <c r="AA7" s="39"/>
      <c r="AB7" s="39"/>
      <c r="AC7" s="39">
        <v>3.1E-2</v>
      </c>
      <c r="AD7" s="39"/>
      <c r="AE7" s="39">
        <v>200</v>
      </c>
      <c r="AF7" s="39"/>
      <c r="AG7" s="39">
        <v>0.15820000000000001</v>
      </c>
      <c r="AH7" s="39"/>
      <c r="AI7" s="39"/>
      <c r="AJ7" s="39"/>
      <c r="AK7" s="39"/>
      <c r="AL7" s="39"/>
      <c r="AM7" s="39">
        <v>0.1</v>
      </c>
      <c r="AN7" s="39" t="s">
        <v>141</v>
      </c>
      <c r="AO7" s="39"/>
      <c r="AP7" s="39"/>
      <c r="AQ7" s="39">
        <f>10*AQ6</f>
        <v>13.983739837398375</v>
      </c>
      <c r="AR7" s="39" t="s">
        <v>12</v>
      </c>
      <c r="AS7" s="39"/>
      <c r="AT7" s="39"/>
      <c r="AU7" s="39">
        <f>1/AU6</f>
        <v>10</v>
      </c>
      <c r="AV7" s="39"/>
      <c r="AW7" s="39"/>
      <c r="AX7" s="39"/>
      <c r="AY7" s="39"/>
      <c r="AZ7" s="39"/>
      <c r="BA7" s="39"/>
      <c r="BB7" s="39"/>
      <c r="BC7" s="39"/>
      <c r="BD7" s="39"/>
    </row>
    <row r="8" spans="1:56">
      <c r="A8" s="39"/>
      <c r="B8" s="39"/>
      <c r="C8" s="39"/>
      <c r="D8" s="39"/>
      <c r="E8" s="39"/>
      <c r="F8" s="39"/>
      <c r="G8" s="39"/>
      <c r="H8" s="39" t="s">
        <v>60</v>
      </c>
      <c r="I8" s="39"/>
      <c r="J8" s="39" t="s">
        <v>12</v>
      </c>
      <c r="K8" s="39"/>
      <c r="L8" s="39"/>
      <c r="M8" s="39"/>
      <c r="N8" s="39"/>
      <c r="O8" s="39">
        <v>3.6999999999999998E-2</v>
      </c>
      <c r="P8" s="39"/>
      <c r="Q8" s="39">
        <v>220</v>
      </c>
      <c r="R8" s="39"/>
      <c r="S8" s="39">
        <v>0.17030000000000001</v>
      </c>
      <c r="T8" s="39"/>
      <c r="U8" s="39"/>
      <c r="V8" s="39">
        <v>3.3000000000000002E-2</v>
      </c>
      <c r="W8" s="39"/>
      <c r="X8" s="39">
        <v>220</v>
      </c>
      <c r="Y8" s="39"/>
      <c r="Z8" s="39">
        <v>0.15359999999999999</v>
      </c>
      <c r="AA8" s="39"/>
      <c r="AB8" s="39"/>
      <c r="AC8" s="39">
        <v>3.1E-2</v>
      </c>
      <c r="AD8" s="39"/>
      <c r="AE8" s="39">
        <v>220</v>
      </c>
      <c r="AF8" s="39"/>
      <c r="AG8" s="39">
        <v>0.1452</v>
      </c>
      <c r="AH8" s="39"/>
      <c r="AI8" s="39"/>
      <c r="AJ8" s="39"/>
      <c r="AK8" s="39"/>
      <c r="AL8" s="39"/>
      <c r="AM8" s="39">
        <f>1/AM7</f>
        <v>10</v>
      </c>
      <c r="AN8" s="39" t="s">
        <v>142</v>
      </c>
      <c r="AO8" s="39"/>
      <c r="AP8" s="39"/>
      <c r="AQ8" s="39"/>
      <c r="AR8" s="39"/>
      <c r="AS8" s="39"/>
      <c r="AT8" s="39"/>
      <c r="AU8" s="39">
        <f>AU7/AU5</f>
        <v>1.890359168241966</v>
      </c>
      <c r="AV8" s="39" t="s">
        <v>143</v>
      </c>
      <c r="AW8" s="39"/>
      <c r="AX8" s="39"/>
      <c r="AY8" s="39"/>
      <c r="AZ8" s="39"/>
      <c r="BA8" s="39"/>
      <c r="BB8" s="39"/>
      <c r="BC8" s="39"/>
      <c r="BD8" s="39"/>
    </row>
    <row r="9" spans="1:56">
      <c r="A9" s="39"/>
      <c r="B9" s="39"/>
      <c r="C9" s="39">
        <f>C5*0.26</f>
        <v>628</v>
      </c>
      <c r="D9" s="39"/>
      <c r="E9" s="39"/>
      <c r="F9" s="39"/>
      <c r="G9" s="39"/>
      <c r="H9" s="39">
        <f>H6*J6</f>
        <v>348.14814814814815</v>
      </c>
      <c r="I9" s="39"/>
      <c r="J9" s="39">
        <f>I6*H9</f>
        <v>974.81481481481478</v>
      </c>
      <c r="K9" s="39"/>
      <c r="L9" s="39"/>
      <c r="M9" s="39"/>
      <c r="N9" s="39"/>
      <c r="O9" s="39">
        <v>3.6999999999999998E-2</v>
      </c>
      <c r="P9" s="39"/>
      <c r="Q9" s="39">
        <v>150</v>
      </c>
      <c r="R9" s="39"/>
      <c r="S9" s="39">
        <v>0.24049999999999999</v>
      </c>
      <c r="T9" s="39"/>
      <c r="U9" s="39"/>
      <c r="V9" s="39">
        <v>3.3000000000000002E-2</v>
      </c>
      <c r="W9" s="39"/>
      <c r="X9" s="39">
        <v>150</v>
      </c>
      <c r="Y9" s="39"/>
      <c r="Z9" s="39">
        <v>0.217</v>
      </c>
      <c r="AA9" s="39"/>
      <c r="AB9" s="39"/>
      <c r="AC9" s="39">
        <v>3.1E-2</v>
      </c>
      <c r="AD9" s="39"/>
      <c r="AE9" s="39">
        <v>150</v>
      </c>
      <c r="AF9" s="39"/>
      <c r="AG9" s="39">
        <v>0.2051</v>
      </c>
      <c r="AH9" s="39"/>
      <c r="AI9" s="39"/>
      <c r="AJ9" s="39"/>
      <c r="AK9" s="39"/>
      <c r="AL9" s="39"/>
      <c r="AM9" s="39">
        <f>AM8/AM6</f>
        <v>2.5641025641025643</v>
      </c>
      <c r="AN9" s="39" t="s">
        <v>143</v>
      </c>
      <c r="AO9" s="39"/>
      <c r="AP9" s="39"/>
      <c r="AQ9" s="39"/>
      <c r="AR9" s="39"/>
      <c r="AS9" s="39"/>
      <c r="AT9" s="39"/>
      <c r="AU9" s="39">
        <f>AU8*AU4</f>
        <v>28.99810964083176</v>
      </c>
      <c r="AV9" s="39" t="s">
        <v>12</v>
      </c>
      <c r="AW9" s="39"/>
      <c r="AX9" s="39"/>
      <c r="AY9" s="39"/>
      <c r="AZ9" s="39"/>
      <c r="BA9" s="39"/>
      <c r="BB9" s="39"/>
      <c r="BC9" s="39"/>
      <c r="BD9" s="39"/>
    </row>
    <row r="10" spans="1:56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>
        <v>3.6999999999999998E-2</v>
      </c>
      <c r="P10" s="39"/>
      <c r="Q10" s="39">
        <v>175</v>
      </c>
      <c r="R10" s="39"/>
      <c r="S10" s="39">
        <v>0.20930000000000001</v>
      </c>
      <c r="T10" s="39"/>
      <c r="U10" s="39"/>
      <c r="V10" s="39">
        <v>3.3000000000000002E-2</v>
      </c>
      <c r="W10" s="39"/>
      <c r="X10" s="39">
        <v>175</v>
      </c>
      <c r="Y10" s="39"/>
      <c r="Z10" s="39">
        <v>0.1888</v>
      </c>
      <c r="AA10" s="39"/>
      <c r="AB10" s="39"/>
      <c r="AC10" s="39">
        <v>3.1E-2</v>
      </c>
      <c r="AD10" s="39"/>
      <c r="AE10" s="39">
        <v>175</v>
      </c>
      <c r="AF10" s="39"/>
      <c r="AG10" s="39">
        <v>0.17849999999999999</v>
      </c>
      <c r="AH10" s="39"/>
      <c r="AI10" s="39"/>
      <c r="AJ10" s="39"/>
      <c r="AK10" s="39"/>
      <c r="AL10" s="39"/>
      <c r="AM10" s="39">
        <f>AM9*8.18</f>
        <v>20.974358974358974</v>
      </c>
      <c r="AN10" s="39" t="s">
        <v>12</v>
      </c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</row>
    <row r="11" spans="1:56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>
        <v>3.6999999999999998E-2</v>
      </c>
      <c r="P11" s="39"/>
      <c r="Q11" s="39">
        <v>200</v>
      </c>
      <c r="R11" s="39"/>
      <c r="S11" s="39">
        <v>0.18559999999999999</v>
      </c>
      <c r="T11" s="39"/>
      <c r="U11" s="39"/>
      <c r="V11" s="39">
        <v>3.3000000000000002E-2</v>
      </c>
      <c r="W11" s="39"/>
      <c r="X11" s="39">
        <v>200</v>
      </c>
      <c r="Y11" s="39"/>
      <c r="Z11" s="39">
        <v>0.16739999999999999</v>
      </c>
      <c r="AA11" s="39"/>
      <c r="AB11" s="39"/>
      <c r="AC11" s="39">
        <v>3.1E-2</v>
      </c>
      <c r="AD11" s="39"/>
      <c r="AE11" s="39">
        <v>200</v>
      </c>
      <c r="AF11" s="39"/>
      <c r="AG11" s="39">
        <v>0.15820000000000001</v>
      </c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</row>
    <row r="12" spans="1:56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>
        <v>3.6999999999999998E-2</v>
      </c>
      <c r="P12" s="39"/>
      <c r="Q12" s="39">
        <v>220</v>
      </c>
      <c r="R12" s="39"/>
      <c r="S12" s="39">
        <v>0.17030000000000001</v>
      </c>
      <c r="T12" s="39"/>
      <c r="U12" s="39"/>
      <c r="V12" s="39">
        <v>3.3000000000000002E-2</v>
      </c>
      <c r="W12" s="39"/>
      <c r="X12" s="39">
        <v>220</v>
      </c>
      <c r="Y12" s="39"/>
      <c r="Z12" s="39">
        <v>0.15359999999999999</v>
      </c>
      <c r="AA12" s="39"/>
      <c r="AB12" s="39"/>
      <c r="AC12" s="39">
        <v>3.1E-2</v>
      </c>
      <c r="AD12" s="39"/>
      <c r="AE12" s="39">
        <v>220</v>
      </c>
      <c r="AF12" s="39"/>
      <c r="AG12" s="39">
        <v>0.1452</v>
      </c>
      <c r="AH12" s="39"/>
      <c r="AI12" s="39"/>
      <c r="AJ12" s="39"/>
      <c r="AK12" s="39"/>
      <c r="AL12" s="39" t="s">
        <v>144</v>
      </c>
      <c r="AM12" s="39">
        <v>14.4</v>
      </c>
      <c r="AN12" s="39" t="s">
        <v>146</v>
      </c>
      <c r="AO12" s="39"/>
      <c r="AP12" s="39"/>
      <c r="AQ12" s="39">
        <f>1/AM14</f>
        <v>20</v>
      </c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</row>
    <row r="13" spans="1:56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>
        <v>41.76</v>
      </c>
      <c r="AN13" s="39" t="s">
        <v>145</v>
      </c>
      <c r="AO13" s="39"/>
      <c r="AP13" s="39"/>
      <c r="AQ13" s="39">
        <f>AQ12/AM12</f>
        <v>1.3888888888888888</v>
      </c>
      <c r="AR13" s="39" t="s">
        <v>147</v>
      </c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</row>
    <row r="14" spans="1:56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 t="s">
        <v>126</v>
      </c>
      <c r="P14" s="39" t="s">
        <v>122</v>
      </c>
      <c r="Q14" s="39" t="s">
        <v>123</v>
      </c>
      <c r="R14" s="39" t="s">
        <v>124</v>
      </c>
      <c r="S14" s="39" t="s">
        <v>125</v>
      </c>
      <c r="T14" s="39"/>
      <c r="U14" s="39"/>
      <c r="V14" s="39" t="s">
        <v>126</v>
      </c>
      <c r="W14" s="39" t="s">
        <v>122</v>
      </c>
      <c r="X14" s="39" t="s">
        <v>123</v>
      </c>
      <c r="Y14" s="39" t="s">
        <v>124</v>
      </c>
      <c r="Z14" s="39" t="s">
        <v>125</v>
      </c>
      <c r="AA14" s="39" t="s">
        <v>127</v>
      </c>
      <c r="AB14" s="39"/>
      <c r="AC14" s="39" t="s">
        <v>126</v>
      </c>
      <c r="AD14" s="39" t="s">
        <v>122</v>
      </c>
      <c r="AE14" s="39" t="s">
        <v>123</v>
      </c>
      <c r="AF14" s="39" t="s">
        <v>124</v>
      </c>
      <c r="AG14" s="39" t="s">
        <v>125</v>
      </c>
      <c r="AH14" s="39"/>
      <c r="AI14" s="39"/>
      <c r="AJ14" s="39"/>
      <c r="AK14" s="39"/>
      <c r="AL14" s="39"/>
      <c r="AM14" s="39">
        <v>0.05</v>
      </c>
      <c r="AN14" s="39" t="s">
        <v>78</v>
      </c>
      <c r="AO14" s="39"/>
      <c r="AP14" s="39"/>
      <c r="AQ14" s="39">
        <f>AQ13*AM13</f>
        <v>57.999999999999993</v>
      </c>
      <c r="AR14" s="39" t="s">
        <v>12</v>
      </c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</row>
    <row r="15" spans="1:56" ht="159.5">
      <c r="A15" s="39"/>
      <c r="B15" s="39"/>
      <c r="C15" s="39" t="s">
        <v>13</v>
      </c>
      <c r="D15" s="39" t="s">
        <v>5</v>
      </c>
      <c r="E15" s="39" t="s">
        <v>6</v>
      </c>
      <c r="F15" s="39" t="s">
        <v>11</v>
      </c>
      <c r="G15" s="39" t="s">
        <v>0</v>
      </c>
      <c r="H15" s="39" t="s">
        <v>7</v>
      </c>
      <c r="I15" s="39" t="s">
        <v>21</v>
      </c>
      <c r="J15" s="77" t="s">
        <v>14</v>
      </c>
      <c r="K15" s="77" t="s">
        <v>17</v>
      </c>
      <c r="L15" s="77" t="s">
        <v>15</v>
      </c>
      <c r="M15" s="77" t="s">
        <v>16</v>
      </c>
      <c r="N15" s="77" t="s">
        <v>18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</row>
    <row r="16" spans="1:56">
      <c r="A16" s="39"/>
      <c r="B16" s="39"/>
      <c r="C16" s="39" t="s">
        <v>4</v>
      </c>
      <c r="D16" s="39" t="s">
        <v>8</v>
      </c>
      <c r="E16" s="78" t="s">
        <v>9</v>
      </c>
      <c r="F16" s="39" t="s">
        <v>12</v>
      </c>
      <c r="G16" s="39"/>
      <c r="H16" s="39" t="s">
        <v>10</v>
      </c>
      <c r="I16" s="39" t="s">
        <v>10</v>
      </c>
      <c r="J16" s="39" t="s">
        <v>10</v>
      </c>
      <c r="K16" s="39" t="s">
        <v>10</v>
      </c>
      <c r="L16" s="39" t="s">
        <v>10</v>
      </c>
      <c r="M16" s="39" t="s">
        <v>10</v>
      </c>
      <c r="N16" s="39" t="s">
        <v>10</v>
      </c>
      <c r="O16" s="39">
        <v>3.6999999999999998E-2</v>
      </c>
      <c r="P16" s="39">
        <v>48</v>
      </c>
      <c r="Q16" s="39">
        <v>150</v>
      </c>
      <c r="R16" s="39">
        <v>600</v>
      </c>
      <c r="S16" s="65">
        <v>0.27700000000000002</v>
      </c>
      <c r="T16" s="65">
        <f>S5-S16</f>
        <v>-3.6500000000000032E-2</v>
      </c>
      <c r="U16" s="39"/>
      <c r="V16" s="39">
        <v>3.3000000000000002E-2</v>
      </c>
      <c r="W16" s="39">
        <v>48</v>
      </c>
      <c r="X16" s="39">
        <v>150</v>
      </c>
      <c r="Y16" s="39">
        <v>600</v>
      </c>
      <c r="Z16" s="65">
        <v>0.25559999999999999</v>
      </c>
      <c r="AA16" s="65">
        <f>Z5-Z16</f>
        <v>-3.8599999999999995E-2</v>
      </c>
      <c r="AB16" s="39"/>
      <c r="AC16" s="39">
        <v>3.1E-2</v>
      </c>
      <c r="AD16" s="39">
        <v>48</v>
      </c>
      <c r="AE16" s="39">
        <v>150</v>
      </c>
      <c r="AF16" s="39">
        <v>600</v>
      </c>
      <c r="AG16" s="65">
        <v>0.24479999999999999</v>
      </c>
      <c r="AH16" s="65">
        <f>AG5-AG16</f>
        <v>-3.9699999999999985E-2</v>
      </c>
      <c r="AI16" s="39"/>
      <c r="AJ16" s="39"/>
      <c r="AK16" s="39"/>
      <c r="AL16" s="39" t="s">
        <v>129</v>
      </c>
      <c r="AM16" s="39"/>
      <c r="AN16" s="39" t="s">
        <v>139</v>
      </c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</row>
    <row r="17" spans="1:56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>
        <v>3.6999999999999998E-2</v>
      </c>
      <c r="P17" s="39">
        <v>48</v>
      </c>
      <c r="Q17" s="39">
        <v>175</v>
      </c>
      <c r="R17" s="39">
        <v>600</v>
      </c>
      <c r="S17" s="65">
        <v>0.2414</v>
      </c>
      <c r="T17" s="65">
        <f t="shared" ref="T17:T23" si="0">S6-S17</f>
        <v>-3.209999999999999E-2</v>
      </c>
      <c r="U17" s="39"/>
      <c r="V17" s="39">
        <v>3.3000000000000002E-2</v>
      </c>
      <c r="W17" s="39">
        <v>48</v>
      </c>
      <c r="X17" s="39">
        <v>175</v>
      </c>
      <c r="Y17" s="39">
        <v>600</v>
      </c>
      <c r="Z17" s="65">
        <v>0.2228</v>
      </c>
      <c r="AA17" s="65">
        <f t="shared" ref="AA17:AA23" si="1">Z6-Z17</f>
        <v>-3.4000000000000002E-2</v>
      </c>
      <c r="AB17" s="39"/>
      <c r="AC17" s="39">
        <v>3.1E-2</v>
      </c>
      <c r="AD17" s="39">
        <v>48</v>
      </c>
      <c r="AE17" s="39">
        <v>175</v>
      </c>
      <c r="AF17" s="39">
        <v>600</v>
      </c>
      <c r="AG17" s="65">
        <v>0.21329999999999999</v>
      </c>
      <c r="AH17" s="65">
        <f t="shared" ref="AH17:AH23" si="2">AG6-AG17</f>
        <v>-3.4799999999999998E-2</v>
      </c>
      <c r="AI17" s="39"/>
      <c r="AJ17" s="39"/>
      <c r="AK17" s="39"/>
      <c r="AL17" s="39" t="s">
        <v>130</v>
      </c>
      <c r="AM17" s="39">
        <v>17</v>
      </c>
      <c r="AN17" s="39" t="s">
        <v>131</v>
      </c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</row>
    <row r="18" spans="1:56">
      <c r="A18" s="39" t="s">
        <v>54</v>
      </c>
      <c r="B18" s="39"/>
      <c r="C18" s="39"/>
      <c r="D18" s="39">
        <v>0.28000000000000003</v>
      </c>
      <c r="E18" s="39">
        <v>0</v>
      </c>
      <c r="F18" s="39"/>
      <c r="G18" s="39">
        <v>1.05</v>
      </c>
      <c r="H18" s="39">
        <v>2</v>
      </c>
      <c r="I18" s="39">
        <v>16</v>
      </c>
      <c r="J18" s="39"/>
      <c r="K18" s="39">
        <v>58</v>
      </c>
      <c r="L18" s="39"/>
      <c r="M18" s="39">
        <v>42</v>
      </c>
      <c r="N18" s="39"/>
      <c r="O18" s="39">
        <v>3.6999999999999998E-2</v>
      </c>
      <c r="P18" s="39">
        <v>48</v>
      </c>
      <c r="Q18" s="39">
        <v>200</v>
      </c>
      <c r="R18" s="39">
        <v>600</v>
      </c>
      <c r="S18" s="65">
        <v>0.2142</v>
      </c>
      <c r="T18" s="65">
        <f t="shared" si="0"/>
        <v>-2.8600000000000014E-2</v>
      </c>
      <c r="U18" s="39"/>
      <c r="V18" s="39">
        <v>3.3000000000000002E-2</v>
      </c>
      <c r="W18" s="39">
        <v>48</v>
      </c>
      <c r="X18" s="39">
        <v>200</v>
      </c>
      <c r="Y18" s="39">
        <v>600</v>
      </c>
      <c r="Z18" s="65">
        <v>0.1976</v>
      </c>
      <c r="AA18" s="65">
        <f t="shared" si="1"/>
        <v>-3.0200000000000005E-2</v>
      </c>
      <c r="AB18" s="39"/>
      <c r="AC18" s="39">
        <v>3.1E-2</v>
      </c>
      <c r="AD18" s="39">
        <v>48</v>
      </c>
      <c r="AE18" s="39">
        <v>200</v>
      </c>
      <c r="AF18" s="39">
        <v>600</v>
      </c>
      <c r="AG18" s="65">
        <v>0.1893</v>
      </c>
      <c r="AH18" s="65">
        <f t="shared" si="2"/>
        <v>-3.1099999999999989E-2</v>
      </c>
      <c r="AI18" s="39"/>
      <c r="AJ18" s="39"/>
      <c r="AK18" s="39"/>
      <c r="AL18" s="39"/>
      <c r="AM18" s="39">
        <v>30</v>
      </c>
      <c r="AN18" s="39" t="s">
        <v>132</v>
      </c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</row>
    <row r="19" spans="1:56">
      <c r="A19" s="39" t="s">
        <v>55</v>
      </c>
      <c r="B19" s="39"/>
      <c r="C19" s="39"/>
      <c r="D19" s="39">
        <v>0.22</v>
      </c>
      <c r="E19" s="39">
        <v>0</v>
      </c>
      <c r="F19" s="39"/>
      <c r="G19" s="39">
        <v>1.05</v>
      </c>
      <c r="H19" s="39">
        <v>1.5</v>
      </c>
      <c r="I19" s="39">
        <v>0</v>
      </c>
      <c r="J19" s="39"/>
      <c r="K19" s="39">
        <v>58</v>
      </c>
      <c r="L19" s="39"/>
      <c r="M19" s="39">
        <v>42</v>
      </c>
      <c r="N19" s="39"/>
      <c r="O19" s="39">
        <v>3.6999999999999998E-2</v>
      </c>
      <c r="P19" s="39">
        <v>48</v>
      </c>
      <c r="Q19" s="39">
        <v>220</v>
      </c>
      <c r="R19" s="39">
        <v>600</v>
      </c>
      <c r="S19" s="65">
        <v>0.19670000000000001</v>
      </c>
      <c r="T19" s="65">
        <f t="shared" si="0"/>
        <v>-2.6400000000000007E-2</v>
      </c>
      <c r="U19" s="39"/>
      <c r="V19" s="39">
        <v>3.3000000000000002E-2</v>
      </c>
      <c r="W19" s="39">
        <v>48</v>
      </c>
      <c r="X19" s="39">
        <v>220</v>
      </c>
      <c r="Y19" s="39">
        <v>600</v>
      </c>
      <c r="Z19" s="65">
        <v>0.18149999999999999</v>
      </c>
      <c r="AA19" s="65">
        <f t="shared" si="1"/>
        <v>-2.7900000000000008E-2</v>
      </c>
      <c r="AB19" s="39"/>
      <c r="AC19" s="39">
        <v>3.1E-2</v>
      </c>
      <c r="AD19" s="39">
        <v>48</v>
      </c>
      <c r="AE19" s="39">
        <v>220</v>
      </c>
      <c r="AF19" s="39">
        <v>600</v>
      </c>
      <c r="AG19" s="65">
        <v>0.17380000000000001</v>
      </c>
      <c r="AH19" s="65">
        <f t="shared" si="2"/>
        <v>-2.8600000000000014E-2</v>
      </c>
      <c r="AI19" s="39"/>
      <c r="AJ19" s="39"/>
      <c r="AK19" s="39"/>
      <c r="AL19" s="39"/>
      <c r="AM19" s="39">
        <f>AM17*3</f>
        <v>51</v>
      </c>
      <c r="AN19" s="39" t="s">
        <v>133</v>
      </c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</row>
    <row r="20" spans="1:56">
      <c r="A20" s="39" t="s">
        <v>61</v>
      </c>
      <c r="B20" s="39"/>
      <c r="C20" s="39"/>
      <c r="D20" s="39">
        <v>0.14000000000000001</v>
      </c>
      <c r="E20" s="39">
        <v>0</v>
      </c>
      <c r="F20" s="39"/>
      <c r="G20" s="39">
        <v>1.1000000000000001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100</v>
      </c>
      <c r="N20" s="39"/>
      <c r="O20" s="39">
        <v>3.6999999999999998E-2</v>
      </c>
      <c r="P20" s="39">
        <v>45</v>
      </c>
      <c r="Q20" s="39">
        <v>150</v>
      </c>
      <c r="R20" s="39">
        <v>600</v>
      </c>
      <c r="S20" s="65">
        <v>0.27479999999999999</v>
      </c>
      <c r="T20" s="65">
        <f t="shared" si="0"/>
        <v>-3.4299999999999997E-2</v>
      </c>
      <c r="U20" s="39"/>
      <c r="V20" s="39">
        <v>3.3000000000000002E-2</v>
      </c>
      <c r="W20" s="39">
        <v>45</v>
      </c>
      <c r="X20" s="39">
        <v>150</v>
      </c>
      <c r="Y20" s="39">
        <v>600</v>
      </c>
      <c r="Z20" s="65">
        <v>0.25319999999999998</v>
      </c>
      <c r="AA20" s="65">
        <f t="shared" si="1"/>
        <v>-3.6199999999999982E-2</v>
      </c>
      <c r="AB20" s="39"/>
      <c r="AC20" s="39">
        <v>3.1E-2</v>
      </c>
      <c r="AD20" s="39">
        <v>45</v>
      </c>
      <c r="AE20" s="39">
        <v>150</v>
      </c>
      <c r="AF20" s="39">
        <v>600</v>
      </c>
      <c r="AG20" s="65">
        <v>0.24229999999999999</v>
      </c>
      <c r="AH20" s="65">
        <f t="shared" si="2"/>
        <v>-3.7199999999999983E-2</v>
      </c>
      <c r="AI20" s="39"/>
      <c r="AJ20" s="39"/>
      <c r="AK20" s="39"/>
      <c r="AL20" s="39"/>
      <c r="AM20" s="39">
        <f>6*3</f>
        <v>18</v>
      </c>
      <c r="AN20" s="39" t="s">
        <v>134</v>
      </c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</row>
    <row r="21" spans="1:56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>
        <v>3.6999999999999998E-2</v>
      </c>
      <c r="P21" s="39">
        <v>45</v>
      </c>
      <c r="Q21" s="39">
        <v>175</v>
      </c>
      <c r="R21" s="39">
        <v>600</v>
      </c>
      <c r="S21" s="65">
        <v>0.2394</v>
      </c>
      <c r="T21" s="65">
        <f t="shared" si="0"/>
        <v>-3.0099999999999988E-2</v>
      </c>
      <c r="U21" s="39"/>
      <c r="V21" s="39">
        <v>3.3000000000000002E-2</v>
      </c>
      <c r="W21" s="39">
        <v>45</v>
      </c>
      <c r="X21" s="39">
        <v>175</v>
      </c>
      <c r="Y21" s="39">
        <v>600</v>
      </c>
      <c r="Z21" s="65">
        <v>0.22059999999999999</v>
      </c>
      <c r="AA21" s="65">
        <f t="shared" si="1"/>
        <v>-3.1799999999999995E-2</v>
      </c>
      <c r="AB21" s="39"/>
      <c r="AC21" s="39">
        <v>3.1E-2</v>
      </c>
      <c r="AD21" s="39">
        <v>45</v>
      </c>
      <c r="AE21" s="39">
        <v>175</v>
      </c>
      <c r="AF21" s="39">
        <v>600</v>
      </c>
      <c r="AG21" s="65">
        <v>0.2112</v>
      </c>
      <c r="AH21" s="65">
        <f t="shared" si="2"/>
        <v>-3.2700000000000007E-2</v>
      </c>
      <c r="AI21" s="39"/>
      <c r="AJ21" s="39"/>
      <c r="AK21" s="39"/>
      <c r="AL21" s="39"/>
      <c r="AM21" s="39">
        <f>AM18+AM19+AM20</f>
        <v>99</v>
      </c>
      <c r="AN21" s="39" t="s">
        <v>135</v>
      </c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</row>
    <row r="22" spans="1:56">
      <c r="A22" s="39" t="s">
        <v>62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>
        <v>3.6999999999999998E-2</v>
      </c>
      <c r="P22" s="39">
        <v>45</v>
      </c>
      <c r="Q22" s="39">
        <v>200</v>
      </c>
      <c r="R22" s="39">
        <v>600</v>
      </c>
      <c r="S22" s="65">
        <v>0.21240000000000001</v>
      </c>
      <c r="T22" s="65">
        <f t="shared" si="0"/>
        <v>-2.6800000000000018E-2</v>
      </c>
      <c r="U22" s="39"/>
      <c r="V22" s="39">
        <v>3.3000000000000002E-2</v>
      </c>
      <c r="W22" s="39">
        <v>45</v>
      </c>
      <c r="X22" s="39">
        <v>200</v>
      </c>
      <c r="Y22" s="39">
        <v>600</v>
      </c>
      <c r="Z22" s="65">
        <v>0.1958</v>
      </c>
      <c r="AA22" s="65">
        <f t="shared" si="1"/>
        <v>-2.8400000000000009E-2</v>
      </c>
      <c r="AB22" s="39"/>
      <c r="AC22" s="39">
        <v>3.1E-2</v>
      </c>
      <c r="AD22" s="39">
        <v>45</v>
      </c>
      <c r="AE22" s="39">
        <v>200</v>
      </c>
      <c r="AF22" s="39">
        <v>600</v>
      </c>
      <c r="AG22" s="65">
        <v>0.18740000000000001</v>
      </c>
      <c r="AH22" s="65">
        <f t="shared" si="2"/>
        <v>-2.9200000000000004E-2</v>
      </c>
      <c r="AI22" s="39"/>
      <c r="AJ22" s="39"/>
      <c r="AK22" s="39"/>
      <c r="AL22" s="39"/>
      <c r="AM22" s="39">
        <f>AM21/30</f>
        <v>3.3</v>
      </c>
      <c r="AN22" s="39" t="s">
        <v>136</v>
      </c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</row>
    <row r="23" spans="1:56">
      <c r="A23" s="39" t="s">
        <v>63</v>
      </c>
      <c r="B23" s="39" t="s">
        <v>64</v>
      </c>
      <c r="C23" s="39"/>
      <c r="D23" s="39"/>
      <c r="E23" s="39"/>
      <c r="F23" s="39"/>
      <c r="G23" s="39"/>
      <c r="H23" s="39"/>
      <c r="I23" s="39"/>
      <c r="J23" s="39"/>
      <c r="K23" s="39">
        <f>0.8*0.58</f>
        <v>0.46399999999999997</v>
      </c>
      <c r="L23" s="39"/>
      <c r="M23" s="39">
        <f>0.8*42</f>
        <v>33.6</v>
      </c>
      <c r="N23" s="39"/>
      <c r="O23" s="39">
        <v>3.6999999999999998E-2</v>
      </c>
      <c r="P23" s="39">
        <v>45</v>
      </c>
      <c r="Q23" s="39">
        <v>220</v>
      </c>
      <c r="R23" s="39">
        <v>600</v>
      </c>
      <c r="S23" s="65">
        <v>0.19500000000000001</v>
      </c>
      <c r="T23" s="65">
        <f t="shared" si="0"/>
        <v>-2.47E-2</v>
      </c>
      <c r="U23" s="39"/>
      <c r="V23" s="39">
        <v>3.3000000000000002E-2</v>
      </c>
      <c r="W23" s="39">
        <v>45</v>
      </c>
      <c r="X23" s="39">
        <v>220</v>
      </c>
      <c r="Y23" s="39">
        <v>600</v>
      </c>
      <c r="Z23" s="65">
        <v>0.1797</v>
      </c>
      <c r="AA23" s="65">
        <f t="shared" si="1"/>
        <v>-2.6100000000000012E-2</v>
      </c>
      <c r="AB23" s="39"/>
      <c r="AC23" s="39">
        <v>3.1E-2</v>
      </c>
      <c r="AD23" s="39">
        <v>45</v>
      </c>
      <c r="AE23" s="39">
        <v>220</v>
      </c>
      <c r="AF23" s="39">
        <v>600</v>
      </c>
      <c r="AG23" s="65">
        <v>0.17199999999999999</v>
      </c>
      <c r="AH23" s="65">
        <f t="shared" si="2"/>
        <v>-2.679999999999999E-2</v>
      </c>
      <c r="AI23" s="39"/>
      <c r="AJ23" s="39"/>
      <c r="AK23" s="39"/>
      <c r="AL23" s="39"/>
      <c r="AM23" s="39">
        <f>3.3*0.048</f>
        <v>0.15839999999999999</v>
      </c>
      <c r="AN23" s="39" t="s">
        <v>137</v>
      </c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</row>
    <row r="24" spans="1:56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>
        <f>0.2*100</f>
        <v>20</v>
      </c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>
        <f>1-AM23</f>
        <v>0.84160000000000001</v>
      </c>
      <c r="AN24" s="39" t="s">
        <v>138</v>
      </c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</row>
    <row r="25" spans="1:56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>
        <v>0.16</v>
      </c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</row>
    <row r="26" spans="1:56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>
        <v>0.84</v>
      </c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</row>
    <row r="27" spans="1:56">
      <c r="A27" s="39"/>
      <c r="B27" s="39">
        <f>285*75</f>
        <v>21375</v>
      </c>
      <c r="C27" s="39"/>
      <c r="D27" s="39"/>
      <c r="E27" s="39"/>
      <c r="F27" s="39"/>
      <c r="G27" s="39">
        <v>3.8</v>
      </c>
      <c r="H27" s="39" t="s">
        <v>67</v>
      </c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</row>
    <row r="28" spans="1:56">
      <c r="A28" s="39"/>
      <c r="B28" s="39">
        <f>1000*1000</f>
        <v>1000000</v>
      </c>
      <c r="C28" s="39"/>
      <c r="D28" s="39"/>
      <c r="E28" s="39"/>
      <c r="F28" s="39"/>
      <c r="G28" s="39">
        <f>1.7*0.95</f>
        <v>1.615</v>
      </c>
      <c r="H28" s="39" t="s">
        <v>68</v>
      </c>
      <c r="I28" s="39"/>
      <c r="J28" s="39"/>
      <c r="K28" s="39"/>
      <c r="L28" s="39" t="s">
        <v>71</v>
      </c>
      <c r="M28" s="39" t="s">
        <v>70</v>
      </c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</row>
    <row r="29" spans="1:56">
      <c r="A29" s="39"/>
      <c r="B29" s="39">
        <f>B28/B27</f>
        <v>46.783625730994153</v>
      </c>
      <c r="C29" s="39">
        <v>46.8</v>
      </c>
      <c r="D29" s="39"/>
      <c r="E29" s="39"/>
      <c r="F29" s="39"/>
      <c r="G29" s="39">
        <f>C31*G28</f>
        <v>447.89333333333332</v>
      </c>
      <c r="H29" s="39" t="s">
        <v>69</v>
      </c>
      <c r="I29" s="39"/>
      <c r="J29" s="39"/>
      <c r="K29" s="39"/>
      <c r="L29" s="39">
        <f>0.14*0.2</f>
        <v>2.8000000000000004E-2</v>
      </c>
      <c r="M29" s="39">
        <f>0.14*0.2</f>
        <v>2.8000000000000004E-2</v>
      </c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</row>
    <row r="30" spans="1:56">
      <c r="A30" s="39"/>
      <c r="B30" s="39"/>
      <c r="C30" s="39">
        <f>C29*0.8</f>
        <v>37.44</v>
      </c>
      <c r="D30" s="39" t="s">
        <v>56</v>
      </c>
      <c r="E30" s="39"/>
      <c r="F30" s="39"/>
      <c r="G30" s="39"/>
      <c r="H30" s="39"/>
      <c r="I30" s="39"/>
      <c r="J30" s="39"/>
      <c r="K30" s="39"/>
      <c r="L30" s="39">
        <f>0.28*0.8</f>
        <v>0.22400000000000003</v>
      </c>
      <c r="M30" s="39">
        <f>0.22*0.8</f>
        <v>0.17600000000000002</v>
      </c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</row>
    <row r="31" spans="1:56">
      <c r="A31" s="39"/>
      <c r="B31" s="39">
        <f>1000/135</f>
        <v>7.4074074074074074</v>
      </c>
      <c r="C31" s="39">
        <f>C30*B31</f>
        <v>277.33333333333331</v>
      </c>
      <c r="D31" s="39" t="s">
        <v>59</v>
      </c>
      <c r="E31" s="39">
        <v>0.8</v>
      </c>
      <c r="F31" s="39" t="s">
        <v>66</v>
      </c>
      <c r="G31" s="39"/>
      <c r="H31" s="39">
        <f>C31*G27</f>
        <v>1053.8666666666666</v>
      </c>
      <c r="I31" s="39" t="s">
        <v>12</v>
      </c>
      <c r="J31" s="39"/>
      <c r="K31" s="39"/>
      <c r="L31" s="39">
        <f>L29+L30</f>
        <v>0.25200000000000006</v>
      </c>
      <c r="M31" s="39">
        <f>M29+M30</f>
        <v>0.20400000000000001</v>
      </c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</row>
    <row r="32" spans="1:56">
      <c r="A32" s="39"/>
      <c r="B32" s="39" t="s">
        <v>65</v>
      </c>
      <c r="C32" s="39"/>
      <c r="D32" s="39"/>
      <c r="E32" s="39">
        <v>0.2</v>
      </c>
      <c r="F32" s="39" t="s">
        <v>66</v>
      </c>
      <c r="G32" s="39"/>
      <c r="H32" s="39">
        <f>G29</f>
        <v>447.89333333333332</v>
      </c>
      <c r="I32" s="39" t="s">
        <v>12</v>
      </c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</row>
    <row r="33" spans="1:56">
      <c r="A33" s="39"/>
      <c r="B33" s="39"/>
      <c r="C33" s="39"/>
      <c r="D33" s="39"/>
      <c r="E33" s="39"/>
      <c r="F33" s="39"/>
      <c r="G33" s="39"/>
      <c r="H33" s="39">
        <f>H31+H32</f>
        <v>1501.7599999999998</v>
      </c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</row>
    <row r="34" spans="1:56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</row>
    <row r="35" spans="1:56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</row>
    <row r="36" spans="1:56">
      <c r="A36" s="39"/>
      <c r="B36" s="39"/>
      <c r="C36" s="79" t="s">
        <v>74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</row>
    <row r="37" spans="1:56">
      <c r="A37" s="39"/>
      <c r="B37" s="39"/>
      <c r="C37" s="79" t="s">
        <v>75</v>
      </c>
      <c r="D37" s="39"/>
      <c r="E37" s="39"/>
      <c r="F37" s="39"/>
      <c r="G37" s="39">
        <v>34</v>
      </c>
      <c r="H37" s="39" t="s">
        <v>77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</row>
    <row r="38" spans="1:56">
      <c r="A38" s="39"/>
      <c r="B38" s="39"/>
      <c r="C38" s="79" t="s">
        <v>76</v>
      </c>
      <c r="D38" s="39"/>
      <c r="E38" s="39"/>
      <c r="F38" s="39"/>
      <c r="G38" s="39">
        <v>0.02</v>
      </c>
      <c r="H38" s="39" t="s">
        <v>78</v>
      </c>
      <c r="I38" s="39"/>
      <c r="J38" s="39"/>
      <c r="K38" s="39">
        <f>1000/88</f>
        <v>11.363636363636363</v>
      </c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</row>
    <row r="39" spans="1:56">
      <c r="A39" s="39"/>
      <c r="B39" s="39"/>
      <c r="C39" s="39"/>
      <c r="D39" s="39"/>
      <c r="E39" s="39"/>
      <c r="F39" s="39"/>
      <c r="G39" s="39">
        <f>1/G38</f>
        <v>50</v>
      </c>
      <c r="H39" s="39"/>
      <c r="I39" s="39"/>
      <c r="J39" s="39"/>
      <c r="K39" s="39">
        <f>2.5*K38</f>
        <v>28.409090909090907</v>
      </c>
      <c r="L39" s="39"/>
      <c r="M39" s="39">
        <f>1590*0.16</f>
        <v>254.4</v>
      </c>
      <c r="N39" s="39">
        <f>0.16*1620</f>
        <v>259.2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</row>
    <row r="40" spans="1:56">
      <c r="A40" s="39"/>
      <c r="B40" s="39"/>
      <c r="C40" s="39"/>
      <c r="D40" s="39"/>
      <c r="E40" s="39"/>
      <c r="F40" s="39"/>
      <c r="G40" s="39">
        <f>G39*G37</f>
        <v>1700</v>
      </c>
      <c r="H40" s="39" t="s">
        <v>12</v>
      </c>
      <c r="I40" s="39"/>
      <c r="J40" s="39"/>
      <c r="K40" s="39"/>
      <c r="L40" s="39"/>
      <c r="M40" s="39">
        <f>30*0.14</f>
        <v>4.2</v>
      </c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</row>
    <row r="41" spans="1:56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>
        <f>M39+M40</f>
        <v>258.60000000000002</v>
      </c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</row>
    <row r="42" spans="1:56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</row>
    <row r="43" spans="1:56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</row>
    <row r="44" spans="1:56">
      <c r="A44" s="39"/>
      <c r="B44" s="39"/>
      <c r="C44" s="39"/>
      <c r="D44" s="39"/>
      <c r="E44" s="39"/>
      <c r="F44" s="39"/>
      <c r="G44" s="39"/>
      <c r="H44" s="39"/>
      <c r="I44" s="39"/>
      <c r="J44" s="39" t="s">
        <v>80</v>
      </c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</row>
    <row r="45" spans="1:56">
      <c r="A45" s="39"/>
      <c r="B45" s="39"/>
      <c r="C45" s="39"/>
      <c r="D45" s="39"/>
      <c r="E45" s="39"/>
      <c r="F45" s="39"/>
      <c r="G45" s="39"/>
      <c r="H45" s="39"/>
      <c r="I45" s="39"/>
      <c r="J45" s="39">
        <v>0.14000000000000001</v>
      </c>
      <c r="K45" s="39" t="s">
        <v>82</v>
      </c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</row>
    <row r="46" spans="1:56">
      <c r="A46" s="39" t="s">
        <v>117</v>
      </c>
      <c r="B46" s="39"/>
      <c r="C46" s="39"/>
      <c r="D46" s="39"/>
      <c r="E46" s="39"/>
      <c r="F46" s="39"/>
      <c r="G46" s="39"/>
      <c r="H46" s="39"/>
      <c r="I46" s="39"/>
      <c r="J46" s="39">
        <v>0</v>
      </c>
      <c r="K46" s="78" t="s">
        <v>83</v>
      </c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</row>
    <row r="47" spans="1:56">
      <c r="A47" s="39">
        <v>14</v>
      </c>
      <c r="B47" s="39" t="s">
        <v>1</v>
      </c>
      <c r="C47" s="39"/>
      <c r="D47" s="39"/>
      <c r="E47" s="39"/>
      <c r="F47" s="39"/>
      <c r="G47" s="39">
        <f>1620/1590</f>
        <v>1.0188679245283019</v>
      </c>
      <c r="H47" s="39"/>
      <c r="I47" s="39"/>
      <c r="J47" s="39">
        <v>1.1000000000000001</v>
      </c>
      <c r="K47" s="39" t="s">
        <v>84</v>
      </c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</row>
    <row r="48" spans="1:56">
      <c r="A48" s="39">
        <f>1000/A47</f>
        <v>71.428571428571431</v>
      </c>
      <c r="B48" s="39"/>
      <c r="C48" s="39"/>
      <c r="D48" s="39"/>
      <c r="E48" s="39"/>
      <c r="F48" s="39"/>
      <c r="G48" s="39">
        <f>0.16*0.98</f>
        <v>0.15679999999999999</v>
      </c>
      <c r="H48" s="39"/>
      <c r="I48" s="39"/>
      <c r="J48" s="39">
        <v>0</v>
      </c>
      <c r="K48" s="39" t="s">
        <v>85</v>
      </c>
      <c r="L48" s="39"/>
      <c r="M48" s="39"/>
      <c r="N48" s="39">
        <f>1000/20</f>
        <v>50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</row>
    <row r="49" spans="1:56">
      <c r="A49" s="39">
        <v>7.5</v>
      </c>
      <c r="B49" s="39" t="s">
        <v>115</v>
      </c>
      <c r="C49" s="39"/>
      <c r="D49" s="39"/>
      <c r="E49" s="39"/>
      <c r="F49" s="39"/>
      <c r="G49" s="39">
        <f>0.14*0.02</f>
        <v>2.8000000000000004E-3</v>
      </c>
      <c r="H49" s="39"/>
      <c r="I49" s="39"/>
      <c r="J49" s="39">
        <v>0</v>
      </c>
      <c r="K49" s="39" t="s">
        <v>86</v>
      </c>
      <c r="L49" s="39"/>
      <c r="M49" s="39"/>
      <c r="N49" s="39">
        <f>N48*2.1</f>
        <v>105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</row>
    <row r="50" spans="1:56">
      <c r="A50" s="39">
        <f>A49*A48</f>
        <v>535.71428571428578</v>
      </c>
      <c r="B50" s="39" t="s">
        <v>12</v>
      </c>
      <c r="C50" s="39"/>
      <c r="D50" s="39"/>
      <c r="E50" s="39"/>
      <c r="F50" s="39"/>
      <c r="G50" s="39">
        <f>G48+G49</f>
        <v>0.15959999999999999</v>
      </c>
      <c r="H50" s="39"/>
      <c r="I50" s="39"/>
      <c r="J50" s="39">
        <v>100</v>
      </c>
      <c r="K50" s="39" t="s">
        <v>81</v>
      </c>
      <c r="L50" s="39"/>
      <c r="M50" s="39"/>
      <c r="N50" s="39">
        <f>1000/40</f>
        <v>25</v>
      </c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</row>
    <row r="51" spans="1:56">
      <c r="A51" s="39"/>
      <c r="B51" s="39"/>
      <c r="C51" s="39"/>
      <c r="D51" s="39"/>
      <c r="E51" s="39"/>
      <c r="F51" s="39"/>
      <c r="G51" s="39"/>
      <c r="H51" s="39"/>
      <c r="I51" s="39"/>
      <c r="J51" s="39">
        <v>29</v>
      </c>
      <c r="K51" s="39" t="s">
        <v>12</v>
      </c>
      <c r="L51" s="39"/>
      <c r="M51" s="39"/>
      <c r="N51" s="39">
        <f>3.9*N50</f>
        <v>97.5</v>
      </c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</row>
    <row r="52" spans="1:56">
      <c r="A52" s="39" t="s">
        <v>119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</row>
    <row r="53" spans="1:56">
      <c r="A53" s="39">
        <v>2</v>
      </c>
      <c r="B53" s="39" t="s">
        <v>1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</row>
    <row r="54" spans="1:56">
      <c r="A54" s="39">
        <v>2.75</v>
      </c>
      <c r="B54" s="39" t="s">
        <v>115</v>
      </c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</row>
    <row r="55" spans="1:56">
      <c r="A55" s="39">
        <f>1000/2</f>
        <v>500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</row>
    <row r="56" spans="1:56">
      <c r="A56" s="39">
        <f>A55*A54</f>
        <v>1375</v>
      </c>
      <c r="B56" s="39" t="s">
        <v>12</v>
      </c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</row>
    <row r="57" spans="1:56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</row>
    <row r="58" spans="1:56">
      <c r="A58" s="39" t="s">
        <v>120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</row>
    <row r="59" spans="1:56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</row>
    <row r="60" spans="1:56">
      <c r="A60" s="39">
        <f>1000/8</f>
        <v>125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</row>
    <row r="61" spans="1:56">
      <c r="A61" s="39">
        <f>2.95*A60</f>
        <v>368.75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</row>
    <row r="62" spans="1:56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</row>
    <row r="63" spans="1:56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</row>
    <row r="64" spans="1:56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</row>
    <row r="65" spans="1:54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</row>
    <row r="66" spans="1:54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</row>
    <row r="67" spans="1:54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</row>
    <row r="68" spans="1:54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</row>
    <row r="69" spans="1:54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</row>
    <row r="70" spans="1:54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</row>
    <row r="71" spans="1:54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</row>
    <row r="72" spans="1:54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</row>
    <row r="73" spans="1:5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</row>
    <row r="74" spans="1:5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</row>
    <row r="75" spans="1:54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</row>
    <row r="76" spans="1:54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</row>
    <row r="77" spans="1:54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</row>
    <row r="78" spans="1:54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</row>
    <row r="79" spans="1:54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</row>
    <row r="80" spans="1:54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</row>
    <row r="81" spans="1:54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</row>
    <row r="82" spans="1:54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</row>
    <row r="83" spans="1:54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</row>
    <row r="84" spans="1:54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</row>
    <row r="85" spans="1:54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</row>
    <row r="86" spans="1:54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</row>
    <row r="87" spans="1:54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</row>
    <row r="88" spans="1:54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</row>
    <row r="89" spans="1:54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</row>
    <row r="90" spans="1:54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</row>
    <row r="91" spans="1:54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</row>
    <row r="92" spans="1:54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</row>
    <row r="93" spans="1:54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</row>
    <row r="94" spans="1:54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</row>
    <row r="95" spans="1:54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</row>
    <row r="96" spans="1:54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</row>
    <row r="97" spans="1:54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</row>
    <row r="98" spans="1:54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</row>
    <row r="99" spans="1:54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</row>
    <row r="100" spans="1:54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</row>
    <row r="101" spans="1:54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</row>
    <row r="102" spans="1:54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</row>
    <row r="103" spans="1:54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</row>
    <row r="104" spans="1:54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</row>
    <row r="105" spans="1:54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</row>
    <row r="106" spans="1:54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</row>
    <row r="107" spans="1:54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</row>
  </sheetData>
  <sheetProtection algorithmName="SHA-512" hashValue="zthukB0ctRkXsjxYz/cNbBIXTzHMui2fvleB+wGhJxDZ5ic4MdPmfkvPB+fsLz+3oz2cGRNqCtXg/5idbYO73Q==" saltValue="QhX35+orbFWMPevVmysCKw==" spinCount="100000" sheet="1" objects="1" scenarios="1"/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3E0BD-6D48-4A06-98A7-D7F0CEE6DA06}">
  <sheetPr codeName="Taul3"/>
  <dimension ref="A1:AI142"/>
  <sheetViews>
    <sheetView topLeftCell="A64" zoomScaleNormal="100" workbookViewId="0">
      <selection activeCell="B80" sqref="B80"/>
    </sheetView>
  </sheetViews>
  <sheetFormatPr defaultRowHeight="14.5"/>
  <cols>
    <col min="1" max="1" width="15.81640625" bestFit="1" customWidth="1"/>
    <col min="2" max="2" width="38.08984375" bestFit="1" customWidth="1"/>
    <col min="5" max="5" width="9.81640625" bestFit="1" customWidth="1"/>
    <col min="7" max="7" width="16.6328125" bestFit="1" customWidth="1"/>
    <col min="8" max="9" width="10.54296875" bestFit="1" customWidth="1"/>
    <col min="14" max="14" width="34.26953125" customWidth="1"/>
    <col min="17" max="17" width="11.26953125" bestFit="1" customWidth="1"/>
    <col min="18" max="18" width="8.81640625" bestFit="1" customWidth="1"/>
    <col min="19" max="19" width="8.90625" bestFit="1" customWidth="1"/>
    <col min="20" max="20" width="10.26953125" bestFit="1" customWidth="1"/>
  </cols>
  <sheetData>
    <row r="1" spans="1:35" ht="15" thickBo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</row>
    <row r="2" spans="1:35">
      <c r="A2" s="39"/>
      <c r="B2" s="40"/>
      <c r="C2" s="39"/>
      <c r="D2" s="39"/>
      <c r="E2" s="39"/>
      <c r="F2" s="39"/>
      <c r="G2" s="41" t="s">
        <v>163</v>
      </c>
      <c r="H2" s="42"/>
      <c r="I2" s="42"/>
      <c r="J2" s="43"/>
      <c r="K2" s="41" t="s">
        <v>228</v>
      </c>
      <c r="L2" s="42"/>
      <c r="M2" s="42" t="s">
        <v>200</v>
      </c>
      <c r="N2" s="42" t="s">
        <v>158</v>
      </c>
      <c r="O2" s="43"/>
      <c r="P2" s="41" t="s">
        <v>229</v>
      </c>
      <c r="Q2" s="42"/>
      <c r="R2" s="42" t="s">
        <v>200</v>
      </c>
      <c r="S2" s="42" t="s">
        <v>158</v>
      </c>
      <c r="T2" s="43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</row>
    <row r="3" spans="1:35">
      <c r="A3" s="39" t="s">
        <v>156</v>
      </c>
      <c r="B3" s="39"/>
      <c r="C3" s="39"/>
      <c r="D3" s="39"/>
      <c r="E3" s="39"/>
      <c r="F3" s="39"/>
      <c r="G3" s="44"/>
      <c r="H3" s="45" t="s">
        <v>166</v>
      </c>
      <c r="I3" s="45" t="s">
        <v>167</v>
      </c>
      <c r="J3" s="46" t="s">
        <v>168</v>
      </c>
      <c r="K3" s="44">
        <v>1</v>
      </c>
      <c r="L3" s="45" t="s">
        <v>198</v>
      </c>
      <c r="M3" s="45">
        <v>0.04</v>
      </c>
      <c r="N3" s="45">
        <v>0.13</v>
      </c>
      <c r="O3" s="46"/>
      <c r="P3" s="44">
        <v>1</v>
      </c>
      <c r="Q3" s="45" t="s">
        <v>198</v>
      </c>
      <c r="R3" s="45">
        <v>0.04</v>
      </c>
      <c r="S3" s="45">
        <v>0.13</v>
      </c>
      <c r="T3" s="46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</row>
    <row r="4" spans="1:35">
      <c r="A4" s="39"/>
      <c r="B4" s="39"/>
      <c r="C4" s="39"/>
      <c r="D4" s="39"/>
      <c r="E4" s="39"/>
      <c r="F4" s="39"/>
      <c r="G4" s="47">
        <v>2010</v>
      </c>
      <c r="H4" s="45">
        <v>0.17</v>
      </c>
      <c r="I4" s="45">
        <v>0.09</v>
      </c>
      <c r="J4" s="46">
        <v>0.16</v>
      </c>
      <c r="K4" s="44">
        <v>2</v>
      </c>
      <c r="L4" s="45" t="s">
        <v>199</v>
      </c>
      <c r="M4" s="45">
        <v>0</v>
      </c>
      <c r="N4" s="45">
        <v>0</v>
      </c>
      <c r="O4" s="46"/>
      <c r="P4" s="44">
        <v>2</v>
      </c>
      <c r="Q4" s="45" t="s">
        <v>199</v>
      </c>
      <c r="R4" s="45">
        <v>0</v>
      </c>
      <c r="S4" s="45">
        <v>0</v>
      </c>
      <c r="T4" s="46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</row>
    <row r="5" spans="1:35">
      <c r="A5" s="39" t="s">
        <v>157</v>
      </c>
      <c r="B5" s="39">
        <v>0.04</v>
      </c>
      <c r="C5" s="39"/>
      <c r="D5" s="39"/>
      <c r="E5" s="39"/>
      <c r="F5" s="39"/>
      <c r="G5" s="47" t="s">
        <v>164</v>
      </c>
      <c r="H5" s="45">
        <v>0.14000000000000001</v>
      </c>
      <c r="I5" s="45"/>
      <c r="J5" s="46"/>
      <c r="K5" s="44">
        <v>3</v>
      </c>
      <c r="L5" s="45" t="s">
        <v>196</v>
      </c>
      <c r="M5" s="45">
        <v>0.04</v>
      </c>
      <c r="N5" s="45">
        <v>0.1</v>
      </c>
      <c r="O5" s="46"/>
      <c r="P5" s="44">
        <v>3</v>
      </c>
      <c r="Q5" s="45" t="s">
        <v>196</v>
      </c>
      <c r="R5" s="45">
        <v>0.04</v>
      </c>
      <c r="S5" s="45">
        <v>0.1</v>
      </c>
      <c r="T5" s="46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</row>
    <row r="6" spans="1:35" ht="15" thickBot="1">
      <c r="A6" s="39" t="s">
        <v>158</v>
      </c>
      <c r="B6" s="39">
        <v>0.13</v>
      </c>
      <c r="C6" s="39"/>
      <c r="D6" s="39"/>
      <c r="E6" s="39"/>
      <c r="F6" s="39"/>
      <c r="G6" s="48" t="s">
        <v>165</v>
      </c>
      <c r="H6" s="49">
        <v>0.09</v>
      </c>
      <c r="I6" s="49">
        <v>7.0000000000000007E-2</v>
      </c>
      <c r="J6" s="50">
        <v>0.1</v>
      </c>
      <c r="K6" s="51">
        <v>4</v>
      </c>
      <c r="L6" s="49" t="s">
        <v>197</v>
      </c>
      <c r="M6" s="49">
        <v>0.04</v>
      </c>
      <c r="N6" s="49">
        <v>0.17</v>
      </c>
      <c r="O6" s="50"/>
      <c r="P6" s="51">
        <v>4</v>
      </c>
      <c r="Q6" s="49" t="s">
        <v>197</v>
      </c>
      <c r="R6" s="49">
        <v>0.04</v>
      </c>
      <c r="S6" s="49">
        <v>0.17</v>
      </c>
      <c r="T6" s="50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</row>
    <row r="7" spans="1:3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</row>
    <row r="8" spans="1:35">
      <c r="A8" s="39" t="s">
        <v>159</v>
      </c>
      <c r="B8" s="39" t="s">
        <v>160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</row>
    <row r="9" spans="1:35" ht="15" thickBot="1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</row>
    <row r="10" spans="1:35" ht="15" thickBot="1">
      <c r="A10" s="39" t="s">
        <v>161</v>
      </c>
      <c r="B10" s="39" t="s">
        <v>162</v>
      </c>
      <c r="C10" s="39"/>
      <c r="D10" s="39"/>
      <c r="E10" s="39"/>
      <c r="F10" s="39"/>
      <c r="G10" s="39"/>
      <c r="H10" s="39"/>
      <c r="I10" s="39"/>
      <c r="J10" s="39"/>
      <c r="K10" s="39" t="s">
        <v>230</v>
      </c>
      <c r="L10" s="52">
        <v>1</v>
      </c>
      <c r="M10" s="43"/>
      <c r="N10" s="39"/>
      <c r="O10" s="39"/>
      <c r="P10" s="39" t="s">
        <v>230</v>
      </c>
      <c r="Q10" s="53">
        <v>1</v>
      </c>
      <c r="R10" s="4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</row>
    <row r="11" spans="1:35" ht="15" thickBot="1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50"/>
      <c r="N11" s="39"/>
      <c r="O11" s="39"/>
      <c r="P11" s="39"/>
      <c r="Q11" s="39"/>
      <c r="R11" s="46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</row>
    <row r="12" spans="1:35">
      <c r="A12" s="39"/>
      <c r="B12" s="39"/>
      <c r="C12" s="39"/>
      <c r="D12" s="39"/>
      <c r="E12" s="39"/>
      <c r="F12" s="39"/>
      <c r="G12" s="39"/>
      <c r="H12" s="39"/>
      <c r="I12" s="39"/>
      <c r="J12" s="41" t="s">
        <v>216</v>
      </c>
      <c r="K12" s="42"/>
      <c r="L12" s="41" t="s">
        <v>214</v>
      </c>
      <c r="M12" s="43" t="s">
        <v>215</v>
      </c>
      <c r="N12" s="39"/>
      <c r="O12" s="41" t="s">
        <v>216</v>
      </c>
      <c r="P12" s="42"/>
      <c r="Q12" s="41" t="s">
        <v>214</v>
      </c>
      <c r="R12" s="43" t="s">
        <v>215</v>
      </c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</row>
    <row r="13" spans="1:35" ht="15" thickBot="1">
      <c r="A13" s="39"/>
      <c r="B13" s="39"/>
      <c r="C13" s="39"/>
      <c r="D13" s="39"/>
      <c r="E13" s="39"/>
      <c r="F13" s="39"/>
      <c r="G13" s="39"/>
      <c r="H13" s="39"/>
      <c r="I13" s="39"/>
      <c r="J13" s="44" t="s">
        <v>194</v>
      </c>
      <c r="K13" s="45"/>
      <c r="L13" s="44">
        <f>VLOOKUP(L10,K3:N6,3)</f>
        <v>0.04</v>
      </c>
      <c r="M13" s="46">
        <f>VLOOKUP(L10,K3:N6,4)</f>
        <v>0.13</v>
      </c>
      <c r="N13" s="39"/>
      <c r="O13" s="44" t="s">
        <v>195</v>
      </c>
      <c r="P13" s="45"/>
      <c r="Q13" s="44">
        <f>VLOOKUP(Q10,P3:S6,3)</f>
        <v>0.04</v>
      </c>
      <c r="R13" s="46">
        <f>VLOOKUP(Q10,P3:S6,4)</f>
        <v>0.13</v>
      </c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</row>
    <row r="14" spans="1:35" ht="15" thickBot="1">
      <c r="A14" s="39"/>
      <c r="B14" s="39"/>
      <c r="C14" s="39"/>
      <c r="D14" s="39"/>
      <c r="E14" s="39"/>
      <c r="F14" s="39"/>
      <c r="G14" s="39"/>
      <c r="H14" s="39"/>
      <c r="I14" s="39"/>
      <c r="J14" s="44"/>
      <c r="K14" s="45"/>
      <c r="L14" s="54"/>
      <c r="M14" s="55"/>
      <c r="N14" s="39"/>
      <c r="O14" s="44"/>
      <c r="P14" s="45"/>
      <c r="Q14" s="51"/>
      <c r="R14" s="5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</row>
    <row r="15" spans="1:35">
      <c r="A15" s="66" t="s">
        <v>194</v>
      </c>
      <c r="B15" s="66" t="s">
        <v>189</v>
      </c>
      <c r="C15" s="66" t="s">
        <v>190</v>
      </c>
      <c r="D15" s="66" t="s">
        <v>302</v>
      </c>
      <c r="E15" s="66" t="s">
        <v>303</v>
      </c>
      <c r="F15" s="66" t="s">
        <v>304</v>
      </c>
      <c r="G15" s="66" t="s">
        <v>305</v>
      </c>
      <c r="H15" s="39"/>
      <c r="I15" s="39"/>
      <c r="J15" s="44" t="s">
        <v>217</v>
      </c>
      <c r="K15" s="45">
        <f>Materiaalilaskut!E119</f>
        <v>0</v>
      </c>
      <c r="L15" s="45">
        <f>Materiaalilaskut!F119</f>
        <v>100</v>
      </c>
      <c r="M15" s="46">
        <f>(K15/1000)/L15</f>
        <v>0</v>
      </c>
      <c r="N15" s="39">
        <f>K15/1000</f>
        <v>0</v>
      </c>
      <c r="O15" s="44" t="s">
        <v>217</v>
      </c>
      <c r="P15" s="45">
        <f>Materiaalilaskut!E133</f>
        <v>0</v>
      </c>
      <c r="Q15" s="45">
        <f>Materiaalilaskut!F133</f>
        <v>100</v>
      </c>
      <c r="R15" s="46">
        <f>(P15/1000)/Q15</f>
        <v>0</v>
      </c>
      <c r="S15" s="39">
        <f>P15/1000</f>
        <v>0</v>
      </c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</row>
    <row r="16" spans="1:35">
      <c r="A16" s="66"/>
      <c r="B16" s="66"/>
      <c r="C16" s="66"/>
      <c r="D16" s="66"/>
      <c r="E16" s="66"/>
      <c r="F16" s="66"/>
      <c r="G16" s="66"/>
      <c r="H16" s="39"/>
      <c r="I16" s="39"/>
      <c r="J16" s="44" t="s">
        <v>218</v>
      </c>
      <c r="K16" s="45">
        <f>Materiaalilaskut!E120</f>
        <v>0</v>
      </c>
      <c r="L16" s="45">
        <f>Materiaalilaskut!F120</f>
        <v>100</v>
      </c>
      <c r="M16" s="46">
        <f t="shared" ref="M16:M23" si="0">(K16/1000)/L16</f>
        <v>0</v>
      </c>
      <c r="N16" s="39">
        <f t="shared" ref="N16:N24" si="1">K16/1000</f>
        <v>0</v>
      </c>
      <c r="O16" s="44" t="s">
        <v>218</v>
      </c>
      <c r="P16" s="45">
        <f>Materiaalilaskut!E134</f>
        <v>0</v>
      </c>
      <c r="Q16" s="45">
        <f>Materiaalilaskut!F134</f>
        <v>100</v>
      </c>
      <c r="R16" s="46">
        <f t="shared" ref="R16:R24" si="2">(P16/1000)/Q16</f>
        <v>0</v>
      </c>
      <c r="S16" s="39">
        <f t="shared" ref="S16:S24" si="3">P16/1000</f>
        <v>0</v>
      </c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</row>
    <row r="17" spans="1:35">
      <c r="A17" s="66" t="s">
        <v>172</v>
      </c>
      <c r="B17" s="66" t="str">
        <f>VLOOKUP(Materiaalilaskut!D119,Materiaalilaskut!A5:P107,3)</f>
        <v>Materiaali/Tyhjä</v>
      </c>
      <c r="C17" s="66">
        <f>Laskuri!$E$11</f>
        <v>0</v>
      </c>
      <c r="D17" s="67">
        <f>Laskuri!AD8</f>
        <v>0</v>
      </c>
      <c r="E17" s="67">
        <f>Laskuri!AE8</f>
        <v>0</v>
      </c>
      <c r="F17" s="67">
        <f>Laskuri!AF8</f>
        <v>0</v>
      </c>
      <c r="G17" s="67">
        <f>Laskuri!AG8</f>
        <v>0</v>
      </c>
      <c r="H17" s="39"/>
      <c r="I17" s="39"/>
      <c r="J17" s="44" t="s">
        <v>219</v>
      </c>
      <c r="K17" s="45">
        <f>Materiaalilaskut!E121</f>
        <v>0</v>
      </c>
      <c r="L17" s="45">
        <f>Materiaalilaskut!F121</f>
        <v>100</v>
      </c>
      <c r="M17" s="46">
        <f t="shared" si="0"/>
        <v>0</v>
      </c>
      <c r="N17" s="39">
        <f t="shared" si="1"/>
        <v>0</v>
      </c>
      <c r="O17" s="44" t="s">
        <v>219</v>
      </c>
      <c r="P17" s="45">
        <f>Materiaalilaskut!E135</f>
        <v>0</v>
      </c>
      <c r="Q17" s="45">
        <f>Materiaalilaskut!F135</f>
        <v>100</v>
      </c>
      <c r="R17" s="46">
        <f t="shared" si="2"/>
        <v>0</v>
      </c>
      <c r="S17" s="39">
        <f t="shared" si="3"/>
        <v>0</v>
      </c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</row>
    <row r="18" spans="1:35">
      <c r="A18" s="66" t="s">
        <v>173</v>
      </c>
      <c r="B18" s="66" t="str">
        <f>VLOOKUP(Materiaalilaskut!D120,Materiaalilaskut!A5:P107,3)</f>
        <v>Materiaali/Tyhjä</v>
      </c>
      <c r="C18" s="66">
        <f>Laskuri!$E$16</f>
        <v>0</v>
      </c>
      <c r="D18" s="67">
        <f>Laskuri!AD9</f>
        <v>0</v>
      </c>
      <c r="E18" s="67">
        <f>Laskuri!AE9</f>
        <v>0</v>
      </c>
      <c r="F18" s="67">
        <f>Laskuri!AF9</f>
        <v>0</v>
      </c>
      <c r="G18" s="67">
        <f>Laskuri!AG9</f>
        <v>0</v>
      </c>
      <c r="H18" s="39"/>
      <c r="I18" s="39"/>
      <c r="J18" s="44" t="s">
        <v>220</v>
      </c>
      <c r="K18" s="45">
        <f>Materiaalilaskut!E122</f>
        <v>0</v>
      </c>
      <c r="L18" s="45">
        <f>Materiaalilaskut!F122</f>
        <v>100</v>
      </c>
      <c r="M18" s="46">
        <f t="shared" si="0"/>
        <v>0</v>
      </c>
      <c r="N18" s="39">
        <f t="shared" si="1"/>
        <v>0</v>
      </c>
      <c r="O18" s="44" t="s">
        <v>220</v>
      </c>
      <c r="P18" s="45">
        <f>Materiaalilaskut!E136</f>
        <v>0</v>
      </c>
      <c r="Q18" s="45">
        <f>Materiaalilaskut!F136</f>
        <v>100</v>
      </c>
      <c r="R18" s="46">
        <f t="shared" si="2"/>
        <v>0</v>
      </c>
      <c r="S18" s="39">
        <f t="shared" si="3"/>
        <v>0</v>
      </c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</row>
    <row r="19" spans="1:35">
      <c r="A19" s="66" t="s">
        <v>174</v>
      </c>
      <c r="B19" s="66" t="str">
        <f>VLOOKUP(Materiaalilaskut!D121,Materiaalilaskut!A5:P107,3)</f>
        <v>Materiaali/Tyhjä</v>
      </c>
      <c r="C19" s="66">
        <f>Laskuri!E21</f>
        <v>0</v>
      </c>
      <c r="D19" s="67">
        <f>Laskuri!AD10</f>
        <v>0</v>
      </c>
      <c r="E19" s="67">
        <f>Laskuri!AE10</f>
        <v>0</v>
      </c>
      <c r="F19" s="67">
        <f>Laskuri!AF10</f>
        <v>0</v>
      </c>
      <c r="G19" s="67">
        <f>Laskuri!AG10</f>
        <v>0</v>
      </c>
      <c r="H19" s="39"/>
      <c r="I19" s="39"/>
      <c r="J19" s="44" t="s">
        <v>221</v>
      </c>
      <c r="K19" s="45">
        <f>Materiaalilaskut!E123</f>
        <v>0</v>
      </c>
      <c r="L19" s="45">
        <f>Materiaalilaskut!F123</f>
        <v>100</v>
      </c>
      <c r="M19" s="46">
        <f t="shared" si="0"/>
        <v>0</v>
      </c>
      <c r="N19" s="39">
        <f t="shared" si="1"/>
        <v>0</v>
      </c>
      <c r="O19" s="44" t="s">
        <v>221</v>
      </c>
      <c r="P19" s="45">
        <f>Materiaalilaskut!E137</f>
        <v>0</v>
      </c>
      <c r="Q19" s="45">
        <f>Materiaalilaskut!F137</f>
        <v>100</v>
      </c>
      <c r="R19" s="46">
        <f t="shared" si="2"/>
        <v>0</v>
      </c>
      <c r="S19" s="39">
        <f t="shared" si="3"/>
        <v>0</v>
      </c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</row>
    <row r="20" spans="1:35">
      <c r="A20" s="66" t="s">
        <v>175</v>
      </c>
      <c r="B20" s="66" t="str">
        <f>VLOOKUP(Materiaalilaskut!D122,Materiaalilaskut!A5:P107,3)</f>
        <v>Materiaali/Tyhjä</v>
      </c>
      <c r="C20" s="66">
        <f>Laskuri!E27</f>
        <v>0</v>
      </c>
      <c r="D20" s="67">
        <f>Laskuri!AD11</f>
        <v>0</v>
      </c>
      <c r="E20" s="67">
        <f>Laskuri!AE11</f>
        <v>0</v>
      </c>
      <c r="F20" s="67">
        <f>Laskuri!AF11</f>
        <v>0</v>
      </c>
      <c r="G20" s="67">
        <f>Laskuri!AG11</f>
        <v>0</v>
      </c>
      <c r="H20" s="39"/>
      <c r="I20" s="39"/>
      <c r="J20" s="44" t="s">
        <v>222</v>
      </c>
      <c r="K20" s="45">
        <f>Materiaalilaskut!E124</f>
        <v>0</v>
      </c>
      <c r="L20" s="45">
        <f>Materiaalilaskut!F124</f>
        <v>100</v>
      </c>
      <c r="M20" s="46">
        <f t="shared" si="0"/>
        <v>0</v>
      </c>
      <c r="N20" s="39">
        <f t="shared" si="1"/>
        <v>0</v>
      </c>
      <c r="O20" s="44" t="s">
        <v>222</v>
      </c>
      <c r="P20" s="45">
        <f>Materiaalilaskut!E138</f>
        <v>0</v>
      </c>
      <c r="Q20" s="45">
        <f>Materiaalilaskut!F138</f>
        <v>100</v>
      </c>
      <c r="R20" s="46">
        <f t="shared" si="2"/>
        <v>0</v>
      </c>
      <c r="S20" s="39">
        <f t="shared" si="3"/>
        <v>0</v>
      </c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</row>
    <row r="21" spans="1:35">
      <c r="A21" s="66" t="s">
        <v>176</v>
      </c>
      <c r="B21" s="66" t="str">
        <f>VLOOKUP(Materiaalilaskut!D123,Materiaalilaskut!A5:P107,3)</f>
        <v>Materiaali/Tyhjä</v>
      </c>
      <c r="C21" s="66">
        <f>Laskuri!E32</f>
        <v>0</v>
      </c>
      <c r="D21" s="67">
        <f>Laskuri!AD12</f>
        <v>0</v>
      </c>
      <c r="E21" s="67">
        <f>Laskuri!AE12</f>
        <v>0</v>
      </c>
      <c r="F21" s="67">
        <f>Laskuri!AF12</f>
        <v>0</v>
      </c>
      <c r="G21" s="67">
        <f>Laskuri!AG12</f>
        <v>0</v>
      </c>
      <c r="H21" s="39"/>
      <c r="I21" s="39"/>
      <c r="J21" s="44" t="s">
        <v>223</v>
      </c>
      <c r="K21" s="45">
        <f>Materiaalilaskut!E125</f>
        <v>0</v>
      </c>
      <c r="L21" s="45">
        <f>Materiaalilaskut!F125</f>
        <v>100</v>
      </c>
      <c r="M21" s="46">
        <f t="shared" si="0"/>
        <v>0</v>
      </c>
      <c r="N21" s="39">
        <f t="shared" si="1"/>
        <v>0</v>
      </c>
      <c r="O21" s="44" t="s">
        <v>223</v>
      </c>
      <c r="P21" s="45">
        <f>Materiaalilaskut!E139</f>
        <v>0</v>
      </c>
      <c r="Q21" s="45">
        <f>Materiaalilaskut!F139</f>
        <v>100</v>
      </c>
      <c r="R21" s="46">
        <f t="shared" si="2"/>
        <v>0</v>
      </c>
      <c r="S21" s="39">
        <f t="shared" si="3"/>
        <v>0</v>
      </c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</row>
    <row r="22" spans="1:35">
      <c r="A22" s="66" t="s">
        <v>177</v>
      </c>
      <c r="B22" s="66" t="str">
        <f>VLOOKUP(Materiaalilaskut!D124,Materiaalilaskut!A5:P107,3)</f>
        <v>Materiaali/Tyhjä</v>
      </c>
      <c r="C22" s="66">
        <f>Laskuri!E38</f>
        <v>0</v>
      </c>
      <c r="D22" s="67">
        <f>Laskuri!AD13</f>
        <v>0</v>
      </c>
      <c r="E22" s="67">
        <f>Laskuri!AE13</f>
        <v>0</v>
      </c>
      <c r="F22" s="67">
        <f>Laskuri!AF13</f>
        <v>0</v>
      </c>
      <c r="G22" s="67">
        <f>Laskuri!AG13</f>
        <v>0</v>
      </c>
      <c r="H22" s="39"/>
      <c r="I22" s="39"/>
      <c r="J22" s="44" t="s">
        <v>224</v>
      </c>
      <c r="K22" s="45">
        <f>Materiaalilaskut!E126</f>
        <v>0</v>
      </c>
      <c r="L22" s="45">
        <f>Materiaalilaskut!F126</f>
        <v>100</v>
      </c>
      <c r="M22" s="46">
        <f t="shared" si="0"/>
        <v>0</v>
      </c>
      <c r="N22" s="39">
        <f t="shared" si="1"/>
        <v>0</v>
      </c>
      <c r="O22" s="44" t="s">
        <v>224</v>
      </c>
      <c r="P22" s="45">
        <f>Materiaalilaskut!E140</f>
        <v>0</v>
      </c>
      <c r="Q22" s="45">
        <f>Materiaalilaskut!F140</f>
        <v>100</v>
      </c>
      <c r="R22" s="46">
        <f t="shared" si="2"/>
        <v>0</v>
      </c>
      <c r="S22" s="39">
        <f t="shared" si="3"/>
        <v>0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</row>
    <row r="23" spans="1:35">
      <c r="A23" s="66" t="s">
        <v>178</v>
      </c>
      <c r="B23" s="66" t="str">
        <f>VLOOKUP(Materiaalilaskut!D125,Materiaalilaskut!A5:P107,3)</f>
        <v>Materiaali/Tyhjä</v>
      </c>
      <c r="C23" s="66">
        <f>Laskuri!E43</f>
        <v>0</v>
      </c>
      <c r="D23" s="67">
        <f>Laskuri!AD14</f>
        <v>0</v>
      </c>
      <c r="E23" s="67">
        <f>Laskuri!AE14</f>
        <v>0</v>
      </c>
      <c r="F23" s="67">
        <f>Laskuri!AF14</f>
        <v>0</v>
      </c>
      <c r="G23" s="67">
        <f>Laskuri!AG14</f>
        <v>0</v>
      </c>
      <c r="H23" s="39"/>
      <c r="I23" s="39"/>
      <c r="J23" s="44" t="s">
        <v>225</v>
      </c>
      <c r="K23" s="45">
        <f>Materiaalilaskut!E127</f>
        <v>0</v>
      </c>
      <c r="L23" s="45">
        <f>Materiaalilaskut!F127</f>
        <v>100</v>
      </c>
      <c r="M23" s="46">
        <f t="shared" si="0"/>
        <v>0</v>
      </c>
      <c r="N23" s="39">
        <f t="shared" si="1"/>
        <v>0</v>
      </c>
      <c r="O23" s="44" t="s">
        <v>225</v>
      </c>
      <c r="P23" s="45">
        <f>Materiaalilaskut!E141</f>
        <v>0</v>
      </c>
      <c r="Q23" s="45">
        <f>Materiaalilaskut!F141</f>
        <v>100</v>
      </c>
      <c r="R23" s="46">
        <f t="shared" si="2"/>
        <v>0</v>
      </c>
      <c r="S23" s="39">
        <f t="shared" si="3"/>
        <v>0</v>
      </c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</row>
    <row r="24" spans="1:35">
      <c r="A24" s="66" t="s">
        <v>179</v>
      </c>
      <c r="B24" s="66" t="str">
        <f>VLOOKUP(Materiaalilaskut!D126,Materiaalilaskut!A5:P107,3)</f>
        <v>Materiaali/Tyhjä</v>
      </c>
      <c r="C24" s="66">
        <f>Laskuri!E48</f>
        <v>0</v>
      </c>
      <c r="D24" s="67">
        <f>Laskuri!AD15</f>
        <v>0</v>
      </c>
      <c r="E24" s="67">
        <f>Laskuri!AE15</f>
        <v>0</v>
      </c>
      <c r="F24" s="67">
        <f>Laskuri!AF15</f>
        <v>0</v>
      </c>
      <c r="G24" s="67">
        <f>Laskuri!AG15</f>
        <v>0</v>
      </c>
      <c r="H24" s="39"/>
      <c r="I24" s="39"/>
      <c r="J24" s="44" t="s">
        <v>226</v>
      </c>
      <c r="K24" s="45">
        <f>Materiaalilaskut!E128</f>
        <v>0</v>
      </c>
      <c r="L24" s="45">
        <f>Materiaalilaskut!F128</f>
        <v>100</v>
      </c>
      <c r="M24" s="46">
        <f>(K24/1000)/L24</f>
        <v>0</v>
      </c>
      <c r="N24" s="39">
        <f t="shared" si="1"/>
        <v>0</v>
      </c>
      <c r="O24" s="44" t="s">
        <v>226</v>
      </c>
      <c r="P24" s="45">
        <f>Materiaalilaskut!E142</f>
        <v>0</v>
      </c>
      <c r="Q24" s="45">
        <f>Materiaalilaskut!F142</f>
        <v>100</v>
      </c>
      <c r="R24" s="46">
        <f t="shared" si="2"/>
        <v>0</v>
      </c>
      <c r="S24" s="39">
        <f t="shared" si="3"/>
        <v>0</v>
      </c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</row>
    <row r="25" spans="1:35">
      <c r="A25" s="66" t="s">
        <v>180</v>
      </c>
      <c r="B25" s="66" t="str">
        <f>VLOOKUP(Materiaalilaskut!D127,Materiaalilaskut!A5:P107,3)</f>
        <v>Materiaali/Tyhjä</v>
      </c>
      <c r="C25" s="66">
        <f>Laskuri!E53</f>
        <v>0</v>
      </c>
      <c r="D25" s="67">
        <f>Laskuri!AD16</f>
        <v>0</v>
      </c>
      <c r="E25" s="67">
        <f>Laskuri!AE16</f>
        <v>0</v>
      </c>
      <c r="F25" s="67">
        <f>Laskuri!AF16</f>
        <v>0</v>
      </c>
      <c r="G25" s="67">
        <f>Laskuri!AG16</f>
        <v>0</v>
      </c>
      <c r="H25" s="39"/>
      <c r="I25" s="39"/>
      <c r="J25" s="57" t="s">
        <v>212</v>
      </c>
      <c r="K25" s="45"/>
      <c r="L25" s="45"/>
      <c r="M25" s="46">
        <f>SUM(M15:M24)</f>
        <v>0</v>
      </c>
      <c r="N25" s="39"/>
      <c r="O25" s="57" t="s">
        <v>212</v>
      </c>
      <c r="P25" s="45"/>
      <c r="Q25" s="45"/>
      <c r="R25" s="46">
        <f>SUM(R15:R24)</f>
        <v>0</v>
      </c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</row>
    <row r="26" spans="1:35">
      <c r="A26" s="66" t="s">
        <v>181</v>
      </c>
      <c r="B26" s="66" t="str">
        <f>VLOOKUP(Materiaalilaskut!D128,Materiaalilaskut!A5:P107,3)</f>
        <v>Materiaali/Tyhjä</v>
      </c>
      <c r="C26" s="66">
        <f>Laskuri!E58</f>
        <v>0</v>
      </c>
      <c r="D26" s="67">
        <f>Laskuri!AD17</f>
        <v>0</v>
      </c>
      <c r="E26" s="67">
        <f>Laskuri!AE17</f>
        <v>0</v>
      </c>
      <c r="F26" s="67">
        <f>Laskuri!AF17</f>
        <v>0</v>
      </c>
      <c r="G26" s="67">
        <f>Laskuri!AG17</f>
        <v>0</v>
      </c>
      <c r="H26" s="39"/>
      <c r="I26" s="39"/>
      <c r="J26" s="57" t="s">
        <v>227</v>
      </c>
      <c r="K26" s="45"/>
      <c r="L26" s="45"/>
      <c r="M26" s="46">
        <f>L13+M25+M13</f>
        <v>0.17</v>
      </c>
      <c r="N26" s="39"/>
      <c r="O26" s="57" t="s">
        <v>227</v>
      </c>
      <c r="P26" s="45"/>
      <c r="Q26" s="45"/>
      <c r="R26" s="46">
        <f>Q13+R25+R13</f>
        <v>0.17</v>
      </c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</row>
    <row r="27" spans="1:35" ht="15" thickBot="1">
      <c r="A27" s="66"/>
      <c r="B27" s="66"/>
      <c r="C27" s="66"/>
      <c r="D27" s="66"/>
      <c r="E27" s="66"/>
      <c r="F27" s="66"/>
      <c r="G27" s="66"/>
      <c r="H27" s="39"/>
      <c r="I27" s="39"/>
      <c r="J27" s="51" t="s">
        <v>213</v>
      </c>
      <c r="K27" s="49"/>
      <c r="L27" s="49"/>
      <c r="M27" s="50">
        <f>1/M26</f>
        <v>5.8823529411764701</v>
      </c>
      <c r="N27" s="39"/>
      <c r="O27" s="51" t="s">
        <v>213</v>
      </c>
      <c r="P27" s="49"/>
      <c r="Q27" s="49"/>
      <c r="R27" s="50">
        <f>1/R26</f>
        <v>5.8823529411764701</v>
      </c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</row>
    <row r="28" spans="1:35">
      <c r="A28" s="66" t="s">
        <v>195</v>
      </c>
      <c r="B28" s="66" t="s">
        <v>189</v>
      </c>
      <c r="C28" s="66" t="s">
        <v>190</v>
      </c>
      <c r="D28" s="66" t="s">
        <v>302</v>
      </c>
      <c r="E28" s="66" t="s">
        <v>303</v>
      </c>
      <c r="F28" s="66" t="s">
        <v>304</v>
      </c>
      <c r="G28" s="66" t="s">
        <v>305</v>
      </c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</row>
    <row r="29" spans="1:35">
      <c r="A29" s="66"/>
      <c r="B29" s="66"/>
      <c r="C29" s="66"/>
      <c r="D29" s="66"/>
      <c r="E29" s="66"/>
      <c r="F29" s="66"/>
      <c r="G29" s="66"/>
      <c r="H29" s="39"/>
      <c r="I29" s="39"/>
      <c r="J29" s="39"/>
      <c r="K29" s="39">
        <f>L13+M13+M24</f>
        <v>0.17</v>
      </c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</row>
    <row r="30" spans="1:35">
      <c r="A30" s="66" t="s">
        <v>172</v>
      </c>
      <c r="B30" s="66" t="str">
        <f>VLOOKUP(Materiaalilaskut!D133,Materiaalilaskut!A5:P107,3)</f>
        <v>Materiaali/Tyhjä</v>
      </c>
      <c r="C30" s="66">
        <f>Laskuri!P11</f>
        <v>0</v>
      </c>
      <c r="D30" s="66">
        <f>Laskuri!AC35</f>
        <v>100</v>
      </c>
      <c r="E30" s="66">
        <f>Laskuri!AE35</f>
        <v>0</v>
      </c>
      <c r="F30" s="67">
        <f>Laskuri!AF35</f>
        <v>0</v>
      </c>
      <c r="G30" s="67">
        <f>Laskuri!AG35</f>
        <v>0</v>
      </c>
      <c r="H30" s="39"/>
      <c r="I30" s="39"/>
      <c r="J30" s="39">
        <v>0.35404999999999998</v>
      </c>
      <c r="K30" s="39">
        <f>1/1.079091</f>
        <v>0.92670590339461634</v>
      </c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</row>
    <row r="31" spans="1:35">
      <c r="A31" s="66" t="s">
        <v>173</v>
      </c>
      <c r="B31" s="66" t="str">
        <f>VLOOKUP(Materiaalilaskut!D134,Materiaalilaskut!A5:P107,3)</f>
        <v>Materiaali/Tyhjä</v>
      </c>
      <c r="C31" s="66">
        <f>Laskuri!P16</f>
        <v>0</v>
      </c>
      <c r="D31" s="66">
        <f>Laskuri!AC36</f>
        <v>100</v>
      </c>
      <c r="E31" s="66">
        <f>Laskuri!AE36</f>
        <v>0</v>
      </c>
      <c r="F31" s="67">
        <f>Laskuri!AF36</f>
        <v>0</v>
      </c>
      <c r="G31" s="67">
        <f>Laskuri!AG36</f>
        <v>0</v>
      </c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</row>
    <row r="32" spans="1:35">
      <c r="A32" s="66" t="s">
        <v>174</v>
      </c>
      <c r="B32" s="66" t="str">
        <f>VLOOKUP(Materiaalilaskut!D135,Materiaalilaskut!A5:P107,3)</f>
        <v>Materiaali/Tyhjä</v>
      </c>
      <c r="C32" s="66">
        <f>Laskuri!P21</f>
        <v>0</v>
      </c>
      <c r="D32" s="66">
        <f>Laskuri!AC37</f>
        <v>100</v>
      </c>
      <c r="E32" s="66">
        <f>Laskuri!AE37</f>
        <v>0</v>
      </c>
      <c r="F32" s="67">
        <f>Laskuri!AF37</f>
        <v>0</v>
      </c>
      <c r="G32" s="67">
        <f>Laskuri!AG37</f>
        <v>0</v>
      </c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</row>
    <row r="33" spans="1:35">
      <c r="A33" s="66" t="s">
        <v>175</v>
      </c>
      <c r="B33" s="66" t="str">
        <f>VLOOKUP(Materiaalilaskut!D136,Materiaalilaskut!A5:P107,3)</f>
        <v>Materiaali/Tyhjä</v>
      </c>
      <c r="C33" s="66">
        <f>Laskuri!P27</f>
        <v>0</v>
      </c>
      <c r="D33" s="66">
        <f>Laskuri!AC38</f>
        <v>100</v>
      </c>
      <c r="E33" s="66">
        <f>Laskuri!AE38</f>
        <v>0</v>
      </c>
      <c r="F33" s="67">
        <f>Laskuri!AF38</f>
        <v>0</v>
      </c>
      <c r="G33" s="67">
        <f>Laskuri!AG38</f>
        <v>0</v>
      </c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</row>
    <row r="34" spans="1:35">
      <c r="A34" s="66" t="s">
        <v>176</v>
      </c>
      <c r="B34" s="66" t="str">
        <f>VLOOKUP(Materiaalilaskut!D137,Materiaalilaskut!A5:P107,3)</f>
        <v>Materiaali/Tyhjä</v>
      </c>
      <c r="C34" s="66">
        <f>Laskuri!P32</f>
        <v>0</v>
      </c>
      <c r="D34" s="66">
        <f>Laskuri!AC39</f>
        <v>100</v>
      </c>
      <c r="E34" s="66">
        <f>Laskuri!AE39</f>
        <v>0</v>
      </c>
      <c r="F34" s="67">
        <f>Laskuri!AF39</f>
        <v>0</v>
      </c>
      <c r="G34" s="67">
        <f>Laskuri!AG39</f>
        <v>0</v>
      </c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</row>
    <row r="35" spans="1:35">
      <c r="A35" s="66" t="s">
        <v>177</v>
      </c>
      <c r="B35" s="66" t="str">
        <f>VLOOKUP(Materiaalilaskut!D138,Materiaalilaskut!A5:P107,3)</f>
        <v>Materiaali/Tyhjä</v>
      </c>
      <c r="C35" s="66">
        <f>Laskuri!P38</f>
        <v>0</v>
      </c>
      <c r="D35" s="66">
        <f>Laskuri!AC40</f>
        <v>100</v>
      </c>
      <c r="E35" s="66">
        <f>Laskuri!AE40</f>
        <v>0</v>
      </c>
      <c r="F35" s="67">
        <f>Laskuri!AF40</f>
        <v>0</v>
      </c>
      <c r="G35" s="67">
        <f>Laskuri!AG40</f>
        <v>0</v>
      </c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</row>
    <row r="36" spans="1:35">
      <c r="A36" s="66" t="s">
        <v>178</v>
      </c>
      <c r="B36" s="66" t="str">
        <f>VLOOKUP(Materiaalilaskut!D139,Materiaalilaskut!A5:P107,3)</f>
        <v>Materiaali/Tyhjä</v>
      </c>
      <c r="C36" s="66">
        <f>Laskuri!P43</f>
        <v>0</v>
      </c>
      <c r="D36" s="66">
        <f>Laskuri!AC41</f>
        <v>100</v>
      </c>
      <c r="E36" s="66">
        <f>Laskuri!AE41</f>
        <v>0</v>
      </c>
      <c r="F36" s="67">
        <f>Laskuri!AF41</f>
        <v>0</v>
      </c>
      <c r="G36" s="67">
        <f>Laskuri!AG41</f>
        <v>0</v>
      </c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</row>
    <row r="37" spans="1:35">
      <c r="A37" s="66" t="s">
        <v>179</v>
      </c>
      <c r="B37" s="66" t="str">
        <f>VLOOKUP(Materiaalilaskut!D140,Materiaalilaskut!A5:P107,3)</f>
        <v>Materiaali/Tyhjä</v>
      </c>
      <c r="C37" s="66">
        <f>Laskuri!P48</f>
        <v>0</v>
      </c>
      <c r="D37" s="66">
        <f>Laskuri!AC42</f>
        <v>100</v>
      </c>
      <c r="E37" s="66">
        <f>Laskuri!AE42</f>
        <v>0</v>
      </c>
      <c r="F37" s="67">
        <f>Laskuri!AF42</f>
        <v>0</v>
      </c>
      <c r="G37" s="67">
        <f>Laskuri!AG42</f>
        <v>0</v>
      </c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</row>
    <row r="38" spans="1:35">
      <c r="A38" s="66" t="s">
        <v>180</v>
      </c>
      <c r="B38" s="66" t="str">
        <f>VLOOKUP(Materiaalilaskut!D141,Materiaalilaskut!A5:P107,3)</f>
        <v>Materiaali/Tyhjä</v>
      </c>
      <c r="C38" s="66">
        <f>Laskuri!P53</f>
        <v>0</v>
      </c>
      <c r="D38" s="66">
        <f>Laskuri!AC43</f>
        <v>100</v>
      </c>
      <c r="E38" s="66">
        <f>Laskuri!AE43</f>
        <v>0</v>
      </c>
      <c r="F38" s="67">
        <f>Laskuri!AF43</f>
        <v>0</v>
      </c>
      <c r="G38" s="67">
        <f>Laskuri!AG43</f>
        <v>0</v>
      </c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</row>
    <row r="39" spans="1:35">
      <c r="A39" s="66" t="s">
        <v>181</v>
      </c>
      <c r="B39" s="66" t="str">
        <f>VLOOKUP(Materiaalilaskut!D142,Materiaalilaskut!A5:P107,3)</f>
        <v>Materiaali/Tyhjä</v>
      </c>
      <c r="C39" s="66">
        <f>Laskuri!P58</f>
        <v>0</v>
      </c>
      <c r="D39" s="66">
        <f>Laskuri!AC44</f>
        <v>100</v>
      </c>
      <c r="E39" s="66">
        <f>Laskuri!AE44</f>
        <v>0</v>
      </c>
      <c r="F39" s="67">
        <f>Laskuri!AF44</f>
        <v>0</v>
      </c>
      <c r="G39" s="67">
        <f>Laskuri!AG44</f>
        <v>0</v>
      </c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</row>
    <row r="40" spans="1:3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</row>
    <row r="41" spans="1:3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</row>
    <row r="42" spans="1:3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</row>
    <row r="43" spans="1:3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</row>
    <row r="44" spans="1:3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</row>
    <row r="45" spans="1:3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</row>
    <row r="46" spans="1:3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</row>
    <row r="47" spans="1:3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</row>
    <row r="48" spans="1:35">
      <c r="A48" s="39" t="s">
        <v>201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</row>
    <row r="49" spans="1:3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</row>
    <row r="50" spans="1:35">
      <c r="A50" s="39" t="s">
        <v>202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</row>
    <row r="51" spans="1:35">
      <c r="A51" s="39" t="s">
        <v>203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</row>
    <row r="52" spans="1:3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</row>
    <row r="53" spans="1:3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</row>
    <row r="54" spans="1:3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</row>
    <row r="55" spans="1:3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</row>
    <row r="56" spans="1:3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</row>
    <row r="57" spans="1:3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</row>
    <row r="58" spans="1:3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</row>
    <row r="59" spans="1:3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</row>
    <row r="60" spans="1:3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</row>
    <row r="61" spans="1:3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</row>
    <row r="62" spans="1:3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</row>
    <row r="63" spans="1:35">
      <c r="A63" s="39" t="s">
        <v>194</v>
      </c>
      <c r="B63" s="39"/>
      <c r="C63" s="39"/>
      <c r="D63" s="39" t="s">
        <v>13</v>
      </c>
      <c r="E63" s="39" t="s">
        <v>5</v>
      </c>
      <c r="F63" s="39" t="s">
        <v>6</v>
      </c>
      <c r="G63" s="39" t="s">
        <v>11</v>
      </c>
      <c r="H63" s="39" t="s">
        <v>0</v>
      </c>
      <c r="I63" s="39" t="s">
        <v>7</v>
      </c>
      <c r="J63" s="39" t="s">
        <v>21</v>
      </c>
      <c r="K63" s="39" t="s">
        <v>169</v>
      </c>
      <c r="L63" s="39" t="s">
        <v>14</v>
      </c>
      <c r="M63" s="39" t="s">
        <v>17</v>
      </c>
      <c r="N63" s="39" t="s">
        <v>15</v>
      </c>
      <c r="O63" s="39" t="s">
        <v>16</v>
      </c>
      <c r="P63" s="39" t="s">
        <v>18</v>
      </c>
      <c r="Q63" s="39" t="s">
        <v>206</v>
      </c>
      <c r="R63" s="39" t="s">
        <v>208</v>
      </c>
      <c r="S63" s="39" t="s">
        <v>5</v>
      </c>
      <c r="T63" s="39" t="s">
        <v>6</v>
      </c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</row>
    <row r="64" spans="1:35">
      <c r="A64" s="39"/>
      <c r="B64" s="39"/>
      <c r="C64" s="39" t="s">
        <v>191</v>
      </c>
      <c r="D64" s="39" t="s">
        <v>4</v>
      </c>
      <c r="E64" s="39" t="s">
        <v>8</v>
      </c>
      <c r="F64" s="39" t="s">
        <v>9</v>
      </c>
      <c r="G64" s="39" t="s">
        <v>12</v>
      </c>
      <c r="H64" s="39"/>
      <c r="I64" s="39" t="s">
        <v>10</v>
      </c>
      <c r="J64" s="39" t="s">
        <v>10</v>
      </c>
      <c r="K64" s="39" t="s">
        <v>10</v>
      </c>
      <c r="L64" s="39" t="s">
        <v>10</v>
      </c>
      <c r="M64" s="39" t="s">
        <v>10</v>
      </c>
      <c r="N64" s="39" t="s">
        <v>10</v>
      </c>
      <c r="O64" s="39" t="s">
        <v>10</v>
      </c>
      <c r="P64" s="39" t="s">
        <v>10</v>
      </c>
      <c r="Q64" s="39" t="s">
        <v>207</v>
      </c>
      <c r="R64" s="39" t="s">
        <v>115</v>
      </c>
      <c r="S64" s="39" t="s">
        <v>8</v>
      </c>
      <c r="T64" s="39" t="s">
        <v>9</v>
      </c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</row>
    <row r="65" spans="1:35">
      <c r="A65" s="39" t="s">
        <v>172</v>
      </c>
      <c r="B65" s="39">
        <v>1</v>
      </c>
      <c r="C65" s="39">
        <v>10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f t="shared" ref="Q65:Q66" si="4">G65/1000</f>
        <v>0</v>
      </c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</row>
    <row r="66" spans="1:35">
      <c r="A66" s="39" t="s">
        <v>173</v>
      </c>
      <c r="B66" s="39">
        <v>2</v>
      </c>
      <c r="C66" s="39">
        <v>20</v>
      </c>
      <c r="D66" s="39">
        <v>0.11</v>
      </c>
      <c r="E66" s="39">
        <v>0.2</v>
      </c>
      <c r="F66" s="39">
        <v>-1.6</v>
      </c>
      <c r="G66" s="39">
        <v>470</v>
      </c>
      <c r="H66" s="39">
        <v>1.05</v>
      </c>
      <c r="I66" s="39">
        <v>99</v>
      </c>
      <c r="J66" s="39">
        <v>0</v>
      </c>
      <c r="K66" s="39">
        <v>0</v>
      </c>
      <c r="L66" s="39">
        <v>0</v>
      </c>
      <c r="M66" s="39">
        <v>0</v>
      </c>
      <c r="N66" s="39">
        <v>100</v>
      </c>
      <c r="O66" s="39">
        <v>0</v>
      </c>
      <c r="P66" s="39">
        <v>0</v>
      </c>
      <c r="Q66" s="39">
        <f t="shared" si="4"/>
        <v>0.47</v>
      </c>
      <c r="R66" s="39">
        <f>C66*Q66</f>
        <v>9.3999999999999986</v>
      </c>
      <c r="S66" s="39">
        <f>R66*E66</f>
        <v>1.88</v>
      </c>
      <c r="T66" s="39">
        <f>R66*F66</f>
        <v>-15.04</v>
      </c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</row>
    <row r="67" spans="1:35">
      <c r="A67" s="39" t="s">
        <v>174</v>
      </c>
      <c r="B67" s="39">
        <v>3</v>
      </c>
      <c r="C67" s="39">
        <v>30</v>
      </c>
      <c r="D67" s="39">
        <v>0.11</v>
      </c>
      <c r="E67" s="39">
        <v>0.41</v>
      </c>
      <c r="F67" s="39">
        <v>-1.6</v>
      </c>
      <c r="G67" s="39">
        <v>510</v>
      </c>
      <c r="H67" s="39">
        <v>1.05</v>
      </c>
      <c r="I67" s="39">
        <v>94</v>
      </c>
      <c r="J67" s="39">
        <v>0</v>
      </c>
      <c r="K67" s="39">
        <v>0</v>
      </c>
      <c r="L67" s="39">
        <v>0</v>
      </c>
      <c r="M67" s="39">
        <v>0</v>
      </c>
      <c r="N67" s="39">
        <v>95</v>
      </c>
      <c r="O67" s="39">
        <v>5</v>
      </c>
      <c r="P67" s="39">
        <v>0</v>
      </c>
      <c r="Q67" s="39">
        <f>G67/1000</f>
        <v>0.51</v>
      </c>
      <c r="R67" s="39">
        <f>C67*Q67</f>
        <v>15.3</v>
      </c>
      <c r="S67" s="39">
        <f>R67*E67</f>
        <v>6.2729999999999997</v>
      </c>
      <c r="T67" s="39">
        <f>R67*F67</f>
        <v>-24.480000000000004</v>
      </c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</row>
    <row r="68" spans="1:3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</row>
    <row r="69" spans="1:3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</row>
    <row r="70" spans="1:3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</row>
    <row r="71" spans="1:35">
      <c r="A71" s="39"/>
      <c r="B71" s="39"/>
      <c r="C71" s="39"/>
      <c r="D71" s="39"/>
      <c r="E71" s="39">
        <f>G65*E65</f>
        <v>0</v>
      </c>
      <c r="F71" s="39">
        <f>H65*F65</f>
        <v>0</v>
      </c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</row>
    <row r="72" spans="1:35">
      <c r="A72" s="39"/>
      <c r="B72" s="39"/>
      <c r="C72" s="39"/>
      <c r="D72" s="39"/>
      <c r="E72" s="39">
        <f t="shared" ref="E72" si="5">G66*E66</f>
        <v>94</v>
      </c>
      <c r="F72" s="39">
        <f>G66*F66</f>
        <v>-752</v>
      </c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</row>
    <row r="73" spans="1:35">
      <c r="A73" s="39"/>
      <c r="B73" s="39"/>
      <c r="C73" s="39"/>
      <c r="D73" s="39"/>
      <c r="E73" s="39">
        <f t="shared" ref="E73" si="6">G67*E67</f>
        <v>209.1</v>
      </c>
      <c r="F73" s="39">
        <f>G67*F67</f>
        <v>-816</v>
      </c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</row>
    <row r="74" spans="1:3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</row>
    <row r="75" spans="1:3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</row>
    <row r="76" spans="1:3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</row>
    <row r="77" spans="1:35">
      <c r="A77" s="39" t="s">
        <v>250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</row>
    <row r="78" spans="1:3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 t="s">
        <v>253</v>
      </c>
      <c r="L78" s="39"/>
      <c r="M78" s="39"/>
      <c r="N78" s="39" t="s">
        <v>260</v>
      </c>
      <c r="O78" s="39" t="s">
        <v>261</v>
      </c>
      <c r="P78" s="39" t="s">
        <v>261</v>
      </c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</row>
    <row r="79" spans="1:35">
      <c r="A79" s="39" t="s">
        <v>251</v>
      </c>
      <c r="B79" s="39" t="s">
        <v>252</v>
      </c>
      <c r="C79" s="39" t="s">
        <v>78</v>
      </c>
      <c r="D79" s="39" t="s">
        <v>254</v>
      </c>
      <c r="E79" s="39" t="s">
        <v>255</v>
      </c>
      <c r="F79" s="39" t="s">
        <v>257</v>
      </c>
      <c r="G79" s="39" t="s">
        <v>256</v>
      </c>
      <c r="H79" s="39" t="s">
        <v>258</v>
      </c>
      <c r="I79" s="39" t="s">
        <v>259</v>
      </c>
      <c r="J79" s="39"/>
      <c r="K79" s="39">
        <v>3</v>
      </c>
      <c r="L79" s="39" t="s">
        <v>78</v>
      </c>
      <c r="M79" s="39"/>
      <c r="N79" s="39">
        <v>48</v>
      </c>
      <c r="O79" s="39">
        <v>45</v>
      </c>
      <c r="P79" s="39">
        <v>51</v>
      </c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</row>
    <row r="80" spans="1:35">
      <c r="A80" s="39">
        <v>300</v>
      </c>
      <c r="B80" s="39">
        <v>45</v>
      </c>
      <c r="C80" s="39">
        <f>B80/1000</f>
        <v>4.4999999999999998E-2</v>
      </c>
      <c r="D80" s="39">
        <f>$K$80/(A80/1000)</f>
        <v>33.333333333333336</v>
      </c>
      <c r="E80" s="39">
        <f>K79+K79+K80+K80+K80</f>
        <v>36</v>
      </c>
      <c r="F80" s="39">
        <f>D80*$K$79</f>
        <v>100</v>
      </c>
      <c r="G80" s="39">
        <f>$E$80+F80</f>
        <v>136</v>
      </c>
      <c r="H80" s="58">
        <f>G80*(B80/1000)</f>
        <v>6.12</v>
      </c>
      <c r="I80" s="39">
        <f>(H80/$K$81)*100</f>
        <v>20.400000000000002</v>
      </c>
      <c r="J80" s="39"/>
      <c r="K80" s="39">
        <v>10</v>
      </c>
      <c r="L80" s="39" t="s">
        <v>78</v>
      </c>
      <c r="M80" s="39"/>
      <c r="N80" s="39">
        <f>(I80+I87+I92)/3</f>
        <v>21.76</v>
      </c>
      <c r="O80" s="39">
        <f>I80-N80</f>
        <v>-1.3599999999999994</v>
      </c>
      <c r="P80" s="39">
        <f>I92-N80</f>
        <v>1.3599999999999959</v>
      </c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</row>
    <row r="81" spans="1:35">
      <c r="A81" s="39">
        <v>400</v>
      </c>
      <c r="B81" s="39">
        <v>45</v>
      </c>
      <c r="C81" s="39">
        <f t="shared" ref="C81:C82" si="7">B81/1000</f>
        <v>4.4999999999999998E-2</v>
      </c>
      <c r="D81" s="39">
        <f>$K$80/(A81/1000)</f>
        <v>25</v>
      </c>
      <c r="E81" s="39"/>
      <c r="F81" s="39">
        <f t="shared" ref="F81:F82" si="8">D81*$K$79</f>
        <v>75</v>
      </c>
      <c r="G81" s="39">
        <f t="shared" ref="G81:G82" si="9">$E$80+F81</f>
        <v>111</v>
      </c>
      <c r="H81" s="58">
        <f t="shared" ref="H81:H82" si="10">G81*(B81/1000)</f>
        <v>4.9950000000000001</v>
      </c>
      <c r="I81" s="39">
        <f t="shared" ref="I81:I82" si="11">(H81/$K$81)*100</f>
        <v>16.650000000000002</v>
      </c>
      <c r="J81" s="39"/>
      <c r="K81" s="39">
        <f>K79*K80</f>
        <v>30</v>
      </c>
      <c r="L81" s="39" t="s">
        <v>141</v>
      </c>
      <c r="M81" s="39"/>
      <c r="N81" s="39">
        <f t="shared" ref="N81:N82" si="12">(I81+I88+I93)/3</f>
        <v>17.760000000000002</v>
      </c>
      <c r="O81" s="39">
        <f>I81-N81</f>
        <v>-1.1099999999999994</v>
      </c>
      <c r="P81" s="39">
        <f t="shared" ref="P81:P82" si="13">I93-N81</f>
        <v>1.1099999999999959</v>
      </c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</row>
    <row r="82" spans="1:35">
      <c r="A82" s="39">
        <v>600</v>
      </c>
      <c r="B82" s="39">
        <v>45</v>
      </c>
      <c r="C82" s="39">
        <f t="shared" si="7"/>
        <v>4.4999999999999998E-2</v>
      </c>
      <c r="D82" s="39">
        <f>$K$80/(A82/1000)</f>
        <v>16.666666666666668</v>
      </c>
      <c r="E82" s="39"/>
      <c r="F82" s="39">
        <f t="shared" si="8"/>
        <v>50</v>
      </c>
      <c r="G82" s="39">
        <f t="shared" si="9"/>
        <v>86</v>
      </c>
      <c r="H82" s="58">
        <f t="shared" si="10"/>
        <v>3.8699999999999997</v>
      </c>
      <c r="I82" s="39">
        <f t="shared" si="11"/>
        <v>12.899999999999997</v>
      </c>
      <c r="J82" s="39"/>
      <c r="K82" s="39"/>
      <c r="L82" s="39"/>
      <c r="M82" s="39"/>
      <c r="N82" s="39">
        <f t="shared" si="12"/>
        <v>13.759999999999998</v>
      </c>
      <c r="O82" s="39">
        <f>I82-N82</f>
        <v>-0.86000000000000121</v>
      </c>
      <c r="P82" s="39">
        <f t="shared" si="13"/>
        <v>0.86000000000000121</v>
      </c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</row>
    <row r="83" spans="1:3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</row>
    <row r="84" spans="1:3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</row>
    <row r="85" spans="1:3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 t="s">
        <v>272</v>
      </c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</row>
    <row r="86" spans="1:35">
      <c r="A86" s="39" t="s">
        <v>251</v>
      </c>
      <c r="B86" s="39" t="s">
        <v>252</v>
      </c>
      <c r="C86" s="39" t="s">
        <v>78</v>
      </c>
      <c r="D86" s="39" t="s">
        <v>254</v>
      </c>
      <c r="E86" s="39" t="s">
        <v>255</v>
      </c>
      <c r="F86" s="39" t="s">
        <v>257</v>
      </c>
      <c r="G86" s="39" t="s">
        <v>256</v>
      </c>
      <c r="H86" s="39" t="s">
        <v>258</v>
      </c>
      <c r="I86" s="39"/>
      <c r="J86" s="39"/>
      <c r="K86" s="39">
        <v>3</v>
      </c>
      <c r="L86" s="39" t="s">
        <v>78</v>
      </c>
      <c r="M86" s="39"/>
      <c r="N86" s="39"/>
      <c r="O86" s="39" t="s">
        <v>270</v>
      </c>
      <c r="P86" s="39"/>
      <c r="Q86" s="39" t="s">
        <v>269</v>
      </c>
      <c r="R86" s="39" t="s">
        <v>271</v>
      </c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</row>
    <row r="87" spans="1:35">
      <c r="A87" s="39">
        <v>300</v>
      </c>
      <c r="B87" s="39">
        <v>48</v>
      </c>
      <c r="C87" s="39">
        <f>B87/1000</f>
        <v>4.8000000000000001E-2</v>
      </c>
      <c r="D87" s="39">
        <f>$K$80/(A87/1000)</f>
        <v>33.333333333333336</v>
      </c>
      <c r="E87" s="39">
        <f>K86+K86+K87+K87+K87</f>
        <v>36</v>
      </c>
      <c r="F87" s="39">
        <f>D87*$K$79</f>
        <v>100</v>
      </c>
      <c r="G87" s="39">
        <f>$E$80+F87</f>
        <v>136</v>
      </c>
      <c r="H87" s="58">
        <f>G87*(B87/1000)</f>
        <v>6.5280000000000005</v>
      </c>
      <c r="I87" s="39">
        <f>(H87/$K$88)*100</f>
        <v>21.76</v>
      </c>
      <c r="J87" s="39"/>
      <c r="K87" s="39">
        <v>10</v>
      </c>
      <c r="L87" s="39" t="s">
        <v>78</v>
      </c>
      <c r="M87" s="39"/>
      <c r="N87" s="39" t="s">
        <v>262</v>
      </c>
      <c r="O87" s="39">
        <f>N80</f>
        <v>21.76</v>
      </c>
      <c r="P87" s="39">
        <f>O87/100</f>
        <v>0.21760000000000002</v>
      </c>
      <c r="Q87" s="39"/>
      <c r="R87" s="39">
        <f>100-O87</f>
        <v>78.239999999999995</v>
      </c>
      <c r="S87" s="39">
        <f>R87/100</f>
        <v>0.78239999999999998</v>
      </c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</row>
    <row r="88" spans="1:35">
      <c r="A88" s="39">
        <v>400</v>
      </c>
      <c r="B88" s="39">
        <v>48</v>
      </c>
      <c r="C88" s="39">
        <f t="shared" ref="C88:C89" si="14">B88/1000</f>
        <v>4.8000000000000001E-2</v>
      </c>
      <c r="D88" s="39">
        <f>$K$80/(A88/1000)</f>
        <v>25</v>
      </c>
      <c r="E88" s="39"/>
      <c r="F88" s="39">
        <f t="shared" ref="F88:F89" si="15">D88*$K$79</f>
        <v>75</v>
      </c>
      <c r="G88" s="39">
        <f t="shared" ref="G88:G89" si="16">$E$80+F88</f>
        <v>111</v>
      </c>
      <c r="H88" s="58">
        <f t="shared" ref="H88:H89" si="17">G88*(B88/1000)</f>
        <v>5.3280000000000003</v>
      </c>
      <c r="I88" s="39">
        <f t="shared" ref="I88:I89" si="18">(H88/$K$88)*100</f>
        <v>17.760000000000002</v>
      </c>
      <c r="J88" s="39"/>
      <c r="K88" s="39">
        <f>K86*K87</f>
        <v>30</v>
      </c>
      <c r="L88" s="39" t="s">
        <v>141</v>
      </c>
      <c r="M88" s="39"/>
      <c r="N88" s="39" t="s">
        <v>263</v>
      </c>
      <c r="O88" s="39">
        <f t="shared" ref="O88:O89" si="19">N81</f>
        <v>17.760000000000002</v>
      </c>
      <c r="P88" s="39">
        <f t="shared" ref="P88:P89" si="20">O88/100</f>
        <v>0.17760000000000001</v>
      </c>
      <c r="Q88" s="39"/>
      <c r="R88" s="39">
        <f>100-O88</f>
        <v>82.24</v>
      </c>
      <c r="S88" s="39">
        <f t="shared" ref="S88:S89" si="21">R88/100</f>
        <v>0.82239999999999991</v>
      </c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</row>
    <row r="89" spans="1:35">
      <c r="A89" s="39">
        <v>600</v>
      </c>
      <c r="B89" s="39">
        <v>48</v>
      </c>
      <c r="C89" s="39">
        <f t="shared" si="14"/>
        <v>4.8000000000000001E-2</v>
      </c>
      <c r="D89" s="39">
        <f>$K$80/(A89/1000)</f>
        <v>16.666666666666668</v>
      </c>
      <c r="E89" s="39"/>
      <c r="F89" s="39">
        <f t="shared" si="15"/>
        <v>50</v>
      </c>
      <c r="G89" s="39">
        <f t="shared" si="16"/>
        <v>86</v>
      </c>
      <c r="H89" s="58">
        <f t="shared" si="17"/>
        <v>4.1280000000000001</v>
      </c>
      <c r="I89" s="39">
        <f t="shared" si="18"/>
        <v>13.76</v>
      </c>
      <c r="J89" s="39"/>
      <c r="K89" s="39"/>
      <c r="L89" s="39"/>
      <c r="M89" s="39"/>
      <c r="N89" s="39" t="s">
        <v>264</v>
      </c>
      <c r="O89" s="39">
        <f t="shared" si="19"/>
        <v>13.759999999999998</v>
      </c>
      <c r="P89" s="39">
        <f t="shared" si="20"/>
        <v>0.13759999999999997</v>
      </c>
      <c r="Q89" s="39"/>
      <c r="R89" s="39">
        <f>100-O89</f>
        <v>86.240000000000009</v>
      </c>
      <c r="S89" s="39">
        <f t="shared" si="21"/>
        <v>0.86240000000000006</v>
      </c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</row>
    <row r="90" spans="1:3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</row>
    <row r="91" spans="1:35">
      <c r="A91" s="39" t="s">
        <v>251</v>
      </c>
      <c r="B91" s="39" t="s">
        <v>252</v>
      </c>
      <c r="C91" s="39" t="s">
        <v>78</v>
      </c>
      <c r="D91" s="39" t="s">
        <v>254</v>
      </c>
      <c r="E91" s="39" t="s">
        <v>255</v>
      </c>
      <c r="F91" s="39" t="s">
        <v>257</v>
      </c>
      <c r="G91" s="39" t="s">
        <v>256</v>
      </c>
      <c r="H91" s="39" t="s">
        <v>258</v>
      </c>
      <c r="I91" s="39"/>
      <c r="J91" s="39"/>
      <c r="K91" s="39">
        <v>3</v>
      </c>
      <c r="L91" s="39" t="s">
        <v>78</v>
      </c>
      <c r="M91" s="39"/>
      <c r="N91" s="39"/>
      <c r="O91" s="39"/>
      <c r="P91" s="39"/>
      <c r="Q91" s="39" t="s">
        <v>4</v>
      </c>
      <c r="R91" s="39" t="s">
        <v>273</v>
      </c>
      <c r="S91" s="39" t="s">
        <v>274</v>
      </c>
      <c r="T91" s="39" t="s">
        <v>277</v>
      </c>
      <c r="U91" s="39" t="s">
        <v>278</v>
      </c>
      <c r="V91" s="39" t="s">
        <v>279</v>
      </c>
      <c r="W91" s="39" t="s">
        <v>280</v>
      </c>
      <c r="X91" s="39" t="s">
        <v>281</v>
      </c>
      <c r="Y91" s="39" t="s">
        <v>0</v>
      </c>
      <c r="Z91" s="39" t="s">
        <v>7</v>
      </c>
      <c r="AA91" s="39" t="s">
        <v>21</v>
      </c>
      <c r="AB91" s="39" t="s">
        <v>169</v>
      </c>
      <c r="AC91" s="39" t="s">
        <v>14</v>
      </c>
      <c r="AD91" s="39" t="s">
        <v>17</v>
      </c>
      <c r="AE91" s="39" t="s">
        <v>15</v>
      </c>
      <c r="AF91" s="39" t="s">
        <v>16</v>
      </c>
      <c r="AG91" s="39" t="s">
        <v>18</v>
      </c>
      <c r="AH91" s="39"/>
      <c r="AI91" s="39"/>
    </row>
    <row r="92" spans="1:35">
      <c r="A92" s="39">
        <v>300</v>
      </c>
      <c r="B92" s="39">
        <v>51</v>
      </c>
      <c r="C92" s="39">
        <f>B92/1000</f>
        <v>5.0999999999999997E-2</v>
      </c>
      <c r="D92" s="39">
        <f>$K$80/(A92/1000)</f>
        <v>33.333333333333336</v>
      </c>
      <c r="E92" s="39">
        <f>K91+K91+K92+K92+K92</f>
        <v>36</v>
      </c>
      <c r="F92" s="39">
        <f>D92*$K$79</f>
        <v>100</v>
      </c>
      <c r="G92" s="39">
        <f>$E$80+F92</f>
        <v>136</v>
      </c>
      <c r="H92" s="58">
        <f>G92*(B92/1000)</f>
        <v>6.9359999999999999</v>
      </c>
      <c r="I92" s="39">
        <f>(H92/$K$93)*100</f>
        <v>23.119999999999997</v>
      </c>
      <c r="J92" s="39"/>
      <c r="K92" s="39">
        <v>10</v>
      </c>
      <c r="L92" s="39" t="s">
        <v>78</v>
      </c>
      <c r="M92" s="39"/>
      <c r="N92" s="39"/>
      <c r="O92" s="59" t="s">
        <v>275</v>
      </c>
      <c r="P92" s="59"/>
      <c r="Q92" s="59">
        <f>Materiaalilaskut!D8</f>
        <v>0.13</v>
      </c>
      <c r="R92" s="59">
        <f>Materiaalilaskut!E8</f>
        <v>8.7999999999999995E-2</v>
      </c>
      <c r="S92" s="59">
        <f>Materiaalilaskut!F8</f>
        <v>-1.6</v>
      </c>
      <c r="T92" s="59">
        <f>Materiaalilaskut!G8</f>
        <v>474</v>
      </c>
      <c r="U92" s="59"/>
      <c r="V92" s="59"/>
      <c r="W92" s="59"/>
      <c r="X92" s="59"/>
      <c r="Y92" s="59">
        <v>1.1000000000000001</v>
      </c>
      <c r="Z92" s="59">
        <v>100</v>
      </c>
      <c r="AA92" s="59">
        <v>0</v>
      </c>
      <c r="AB92" s="59">
        <v>0</v>
      </c>
      <c r="AC92" s="59">
        <v>0</v>
      </c>
      <c r="AD92" s="59">
        <v>0</v>
      </c>
      <c r="AE92" s="59">
        <v>100</v>
      </c>
      <c r="AF92" s="59">
        <v>0</v>
      </c>
      <c r="AG92" s="59">
        <v>0</v>
      </c>
      <c r="AH92" s="39"/>
      <c r="AI92" s="39"/>
    </row>
    <row r="93" spans="1:35">
      <c r="A93" s="39">
        <v>400</v>
      </c>
      <c r="B93" s="39">
        <v>51</v>
      </c>
      <c r="C93" s="39">
        <f t="shared" ref="C93:C94" si="22">B93/1000</f>
        <v>5.0999999999999997E-2</v>
      </c>
      <c r="D93" s="39">
        <f>$K$80/(A93/1000)</f>
        <v>25</v>
      </c>
      <c r="E93" s="39"/>
      <c r="F93" s="39">
        <f t="shared" ref="F93:F94" si="23">D93*$K$79</f>
        <v>75</v>
      </c>
      <c r="G93" s="39">
        <f t="shared" ref="G93:G94" si="24">$E$80+F93</f>
        <v>111</v>
      </c>
      <c r="H93" s="58">
        <f t="shared" ref="H93:H94" si="25">G93*(B93/1000)</f>
        <v>5.6609999999999996</v>
      </c>
      <c r="I93" s="39">
        <f t="shared" ref="I93:I94" si="26">(H93/$K$93)*100</f>
        <v>18.869999999999997</v>
      </c>
      <c r="J93" s="39"/>
      <c r="K93" s="39">
        <f>K91*K92</f>
        <v>30</v>
      </c>
      <c r="L93" s="39" t="s">
        <v>141</v>
      </c>
      <c r="M93" s="60">
        <v>1</v>
      </c>
      <c r="N93" s="60" t="str">
        <f>Materiaalilaskut!C66</f>
        <v>Lasivillaeriste, 20kg/m3 (Isover KL33)</v>
      </c>
      <c r="O93" s="60" t="s">
        <v>265</v>
      </c>
      <c r="P93" s="60"/>
      <c r="Q93" s="60">
        <f>Materiaalilaskut!D66</f>
        <v>3.3000000000000002E-2</v>
      </c>
      <c r="R93" s="60">
        <f>Materiaalilaskut!E66</f>
        <v>1.2</v>
      </c>
      <c r="S93" s="60">
        <f>Materiaalilaskut!F66</f>
        <v>0</v>
      </c>
      <c r="T93" s="60">
        <f>Materiaalilaskut!G66</f>
        <v>20</v>
      </c>
      <c r="U93" s="60"/>
      <c r="V93" s="60"/>
      <c r="W93" s="60"/>
      <c r="X93" s="60"/>
      <c r="Y93" s="60">
        <v>1.03</v>
      </c>
      <c r="Z93" s="60">
        <v>0</v>
      </c>
      <c r="AA93" s="60">
        <v>50</v>
      </c>
      <c r="AB93" s="60">
        <v>0</v>
      </c>
      <c r="AC93" s="60">
        <v>0</v>
      </c>
      <c r="AD93" s="60">
        <v>0</v>
      </c>
      <c r="AE93" s="60">
        <v>0</v>
      </c>
      <c r="AF93" s="60">
        <v>100</v>
      </c>
      <c r="AG93" s="60">
        <v>0</v>
      </c>
      <c r="AH93" s="39"/>
      <c r="AI93" s="39"/>
    </row>
    <row r="94" spans="1:35">
      <c r="A94" s="39">
        <v>600</v>
      </c>
      <c r="B94" s="39">
        <v>51</v>
      </c>
      <c r="C94" s="39">
        <f t="shared" si="22"/>
        <v>5.0999999999999997E-2</v>
      </c>
      <c r="D94" s="39">
        <f>$K$80/(A94/1000)</f>
        <v>16.666666666666668</v>
      </c>
      <c r="E94" s="39"/>
      <c r="F94" s="39">
        <f t="shared" si="23"/>
        <v>50</v>
      </c>
      <c r="G94" s="39">
        <f t="shared" si="24"/>
        <v>86</v>
      </c>
      <c r="H94" s="58">
        <f t="shared" si="25"/>
        <v>4.3860000000000001</v>
      </c>
      <c r="I94" s="39">
        <f t="shared" si="26"/>
        <v>14.62</v>
      </c>
      <c r="J94" s="39"/>
      <c r="K94" s="39"/>
      <c r="L94" s="39"/>
      <c r="M94" s="60"/>
      <c r="N94" s="60"/>
      <c r="O94" s="60" t="s">
        <v>262</v>
      </c>
      <c r="P94" s="60"/>
      <c r="Q94" s="61">
        <f>($Q$93*S87+$Q$92*P87)</f>
        <v>5.4107200000000008E-2</v>
      </c>
      <c r="R94" s="62">
        <f>($R$92*P87+$R$93*S87)</f>
        <v>0.9580287999999999</v>
      </c>
      <c r="S94" s="62">
        <f>($S$92*P87+$S$93*S87)</f>
        <v>-0.34816000000000003</v>
      </c>
      <c r="T94" s="63">
        <f>($T$92*P87+$T$93*S87)</f>
        <v>118.79040000000001</v>
      </c>
      <c r="U94" s="63">
        <f>R94*T94</f>
        <v>113.80462436351999</v>
      </c>
      <c r="V94" s="63">
        <f>S94*T94</f>
        <v>-41.358065664000002</v>
      </c>
      <c r="W94" s="62">
        <f>U94/1000</f>
        <v>0.11380462436351999</v>
      </c>
      <c r="X94" s="62">
        <f>V94/1000</f>
        <v>-4.1358065664E-2</v>
      </c>
      <c r="Y94" s="60">
        <f>($Y$92*P87+$Y$93*S87)</f>
        <v>1.0452320000000002</v>
      </c>
      <c r="Z94" s="60">
        <f>(Z92*$P$87+Z93*$S$87)</f>
        <v>21.76</v>
      </c>
      <c r="AA94" s="60">
        <f>($AA$92*P87+$AA$93*S87)</f>
        <v>39.119999999999997</v>
      </c>
      <c r="AB94" s="60">
        <v>0</v>
      </c>
      <c r="AC94" s="60">
        <v>0</v>
      </c>
      <c r="AD94" s="60">
        <v>0</v>
      </c>
      <c r="AE94" s="60">
        <f t="shared" ref="AE94:AG94" si="27">(AE92*$P$87+AE93*$S$87)</f>
        <v>21.76</v>
      </c>
      <c r="AF94" s="60">
        <f t="shared" si="27"/>
        <v>78.239999999999995</v>
      </c>
      <c r="AG94" s="60">
        <f t="shared" si="27"/>
        <v>0</v>
      </c>
      <c r="AH94" s="39"/>
      <c r="AI94" s="39"/>
    </row>
    <row r="95" spans="1:3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60"/>
      <c r="N95" s="60"/>
      <c r="O95" s="60" t="s">
        <v>263</v>
      </c>
      <c r="P95" s="60"/>
      <c r="Q95" s="61">
        <f t="shared" ref="Q95:Q96" si="28">($Q$93*S88+$Q$92*P88)</f>
        <v>5.02272E-2</v>
      </c>
      <c r="R95" s="62">
        <f t="shared" ref="R95:R96" si="29">($R$92*P88+$R$93*S88)</f>
        <v>1.0025087999999998</v>
      </c>
      <c r="S95" s="62">
        <f t="shared" ref="S95:S96" si="30">($S$92*P88+$S$93*S88)</f>
        <v>-0.28416000000000002</v>
      </c>
      <c r="T95" s="63">
        <f t="shared" ref="T95:T96" si="31">($T$92*P88+$T$93*S88)</f>
        <v>100.63039999999999</v>
      </c>
      <c r="U95" s="63">
        <f t="shared" ref="U95:U124" si="32">R95*T95</f>
        <v>100.88286154751997</v>
      </c>
      <c r="V95" s="63">
        <f t="shared" ref="V95:V124" si="33">S95*T95</f>
        <v>-28.595134464000001</v>
      </c>
      <c r="W95" s="62">
        <f t="shared" ref="W95:W124" si="34">U95/1000</f>
        <v>0.10088286154751996</v>
      </c>
      <c r="X95" s="62">
        <f t="shared" ref="X95:X124" si="35">V95/1000</f>
        <v>-2.8595134463999999E-2</v>
      </c>
      <c r="Y95" s="60">
        <f t="shared" ref="Y95:Y96" si="36">($Y$92*P88+$Y$93*S88)</f>
        <v>1.042432</v>
      </c>
      <c r="Z95" s="60">
        <f>($Z$92*P88+$Z$93*S88)</f>
        <v>17.760000000000002</v>
      </c>
      <c r="AA95" s="60">
        <f t="shared" ref="AA95:AA96" si="37">($AA$92*P88+$AA$93*S88)</f>
        <v>41.12</v>
      </c>
      <c r="AB95" s="60">
        <v>0</v>
      </c>
      <c r="AC95" s="60">
        <v>0</v>
      </c>
      <c r="AD95" s="60">
        <v>0</v>
      </c>
      <c r="AE95" s="60">
        <f>(AE92*P88+AE93*S88)</f>
        <v>17.760000000000002</v>
      </c>
      <c r="AF95" s="60">
        <f>(AF92*P88+AF93*S88)</f>
        <v>82.24</v>
      </c>
      <c r="AG95" s="60">
        <v>0</v>
      </c>
      <c r="AH95" s="39"/>
      <c r="AI95" s="39"/>
    </row>
    <row r="96" spans="1:35">
      <c r="A96" s="39" t="s">
        <v>306</v>
      </c>
      <c r="B96" s="64">
        <f>Laskuri!AF26</f>
        <v>0</v>
      </c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60"/>
      <c r="N96" s="60"/>
      <c r="O96" s="60" t="s">
        <v>264</v>
      </c>
      <c r="P96" s="60"/>
      <c r="Q96" s="61">
        <f t="shared" si="28"/>
        <v>4.6347200000000005E-2</v>
      </c>
      <c r="R96" s="62">
        <f t="shared" si="29"/>
        <v>1.0469888000000001</v>
      </c>
      <c r="S96" s="62">
        <f t="shared" si="30"/>
        <v>-0.22015999999999997</v>
      </c>
      <c r="T96" s="63">
        <f t="shared" si="31"/>
        <v>82.470399999999998</v>
      </c>
      <c r="U96" s="63">
        <f t="shared" si="32"/>
        <v>86.345585131519996</v>
      </c>
      <c r="V96" s="63">
        <f t="shared" si="33"/>
        <v>-18.156683263999998</v>
      </c>
      <c r="W96" s="62">
        <f t="shared" si="34"/>
        <v>8.6345585131519992E-2</v>
      </c>
      <c r="X96" s="62">
        <f t="shared" si="35"/>
        <v>-1.8156683263999999E-2</v>
      </c>
      <c r="Y96" s="60">
        <f t="shared" si="36"/>
        <v>1.0396320000000001</v>
      </c>
      <c r="Z96" s="60">
        <f>($Z$92*P89+$Z$93*S89)</f>
        <v>13.759999999999998</v>
      </c>
      <c r="AA96" s="60">
        <f t="shared" si="37"/>
        <v>43.120000000000005</v>
      </c>
      <c r="AB96" s="60">
        <v>0</v>
      </c>
      <c r="AC96" s="60">
        <v>0</v>
      </c>
      <c r="AD96" s="60">
        <v>0</v>
      </c>
      <c r="AE96" s="60">
        <f>(AE92*P89+AE93*S89)</f>
        <v>13.759999999999998</v>
      </c>
      <c r="AF96" s="60">
        <f>(AF92*P89+AF93*S89)</f>
        <v>86.240000000000009</v>
      </c>
      <c r="AG96" s="60">
        <v>0</v>
      </c>
      <c r="AH96" s="39"/>
      <c r="AI96" s="39"/>
    </row>
    <row r="97" spans="1:35">
      <c r="A97" s="39" t="s">
        <v>307</v>
      </c>
      <c r="B97" s="64">
        <f>Laskuri!AF53</f>
        <v>0</v>
      </c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60">
        <v>2</v>
      </c>
      <c r="N97" s="60" t="str">
        <f>Materiaalilaskut!C70</f>
        <v>Lasivillaeriste, 14kg/m3 (Isover KL37)</v>
      </c>
      <c r="O97" s="60" t="s">
        <v>265</v>
      </c>
      <c r="P97" s="60"/>
      <c r="Q97" s="60">
        <f>Materiaalilaskut!D70</f>
        <v>3.6999999999999998E-2</v>
      </c>
      <c r="R97" s="60">
        <f>Materiaalilaskut!E70</f>
        <v>1.2</v>
      </c>
      <c r="S97" s="60">
        <f>Materiaalilaskut!F70</f>
        <v>0</v>
      </c>
      <c r="T97" s="60">
        <f>Materiaalilaskut!G70</f>
        <v>14</v>
      </c>
      <c r="U97" s="63"/>
      <c r="V97" s="63"/>
      <c r="W97" s="62"/>
      <c r="X97" s="62"/>
      <c r="Y97" s="60">
        <v>1.03</v>
      </c>
      <c r="Z97" s="60">
        <v>0</v>
      </c>
      <c r="AA97" s="60">
        <v>50</v>
      </c>
      <c r="AB97" s="60">
        <v>0</v>
      </c>
      <c r="AC97" s="60">
        <v>0</v>
      </c>
      <c r="AD97" s="60">
        <v>0</v>
      </c>
      <c r="AE97" s="60">
        <v>0</v>
      </c>
      <c r="AF97" s="60">
        <v>100</v>
      </c>
      <c r="AG97" s="60">
        <v>0</v>
      </c>
      <c r="AH97" s="39"/>
      <c r="AI97" s="39"/>
    </row>
    <row r="98" spans="1:35">
      <c r="A98" s="39" t="s">
        <v>308</v>
      </c>
      <c r="B98" s="64">
        <f>Laskuri!AF28</f>
        <v>0</v>
      </c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60"/>
      <c r="N98" s="60"/>
      <c r="O98" s="60" t="s">
        <v>262</v>
      </c>
      <c r="P98" s="60"/>
      <c r="Q98" s="62">
        <f>($Q$97*S87+$Q$92*P87)</f>
        <v>5.7236800000000004E-2</v>
      </c>
      <c r="R98" s="62">
        <f>($R$92*P87+$R$97*S87)</f>
        <v>0.9580287999999999</v>
      </c>
      <c r="S98" s="62">
        <f>($S$92*P87+$S$97*S87)</f>
        <v>-0.34816000000000003</v>
      </c>
      <c r="T98" s="62">
        <f>($T$92*P87+$T$97*S87)</f>
        <v>114.096</v>
      </c>
      <c r="U98" s="63">
        <f t="shared" si="32"/>
        <v>109.3072539648</v>
      </c>
      <c r="V98" s="63">
        <f t="shared" si="33"/>
        <v>-39.723663360000003</v>
      </c>
      <c r="W98" s="62">
        <f t="shared" si="34"/>
        <v>0.1093072539648</v>
      </c>
      <c r="X98" s="62">
        <f t="shared" si="35"/>
        <v>-3.9723663360000001E-2</v>
      </c>
      <c r="Y98" s="60">
        <f>($Y$92*P87+$Y$97*S87)</f>
        <v>1.0452320000000002</v>
      </c>
      <c r="Z98" s="60">
        <f t="shared" ref="Z98:Z99" si="38">($Z$92*P87+$Z$97*S87)</f>
        <v>21.76</v>
      </c>
      <c r="AA98" s="60">
        <f>($AA$92*P87+$AA$97*S87)</f>
        <v>39.119999999999997</v>
      </c>
      <c r="AB98" s="60">
        <v>0</v>
      </c>
      <c r="AC98" s="60">
        <v>0</v>
      </c>
      <c r="AD98" s="60">
        <v>0</v>
      </c>
      <c r="AE98" s="60">
        <f>($AE$92*$P$87+$AE$97*S87)</f>
        <v>21.76</v>
      </c>
      <c r="AF98" s="60">
        <f>($AF$92*P87+$AF$97*S87)</f>
        <v>78.239999999999995</v>
      </c>
      <c r="AG98" s="60">
        <v>0</v>
      </c>
      <c r="AH98" s="39"/>
      <c r="AI98" s="39"/>
    </row>
    <row r="99" spans="1:35">
      <c r="A99" s="39" t="s">
        <v>309</v>
      </c>
      <c r="B99" s="64">
        <f>Laskuri!AF55</f>
        <v>0</v>
      </c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60"/>
      <c r="N99" s="60"/>
      <c r="O99" s="60" t="s">
        <v>263</v>
      </c>
      <c r="P99" s="60"/>
      <c r="Q99" s="62">
        <f t="shared" ref="Q99:Q100" si="39">($Q$97*S88+$Q$92*P88)</f>
        <v>5.3516799999999996E-2</v>
      </c>
      <c r="R99" s="62">
        <f t="shared" ref="R99:R100" si="40">($R$92*P88+$R$97*S88)</f>
        <v>1.0025087999999998</v>
      </c>
      <c r="S99" s="62">
        <f t="shared" ref="S99:S100" si="41">($S$92*P88+$S$97*S88)</f>
        <v>-0.28416000000000002</v>
      </c>
      <c r="T99" s="62">
        <f t="shared" ref="T99:T100" si="42">($T$92*P88+$T$97*S88)</f>
        <v>95.695999999999998</v>
      </c>
      <c r="U99" s="63">
        <f t="shared" si="32"/>
        <v>95.936082124799981</v>
      </c>
      <c r="V99" s="63">
        <f t="shared" si="33"/>
        <v>-27.192975360000002</v>
      </c>
      <c r="W99" s="62">
        <f t="shared" si="34"/>
        <v>9.5936082124799982E-2</v>
      </c>
      <c r="X99" s="62">
        <f t="shared" si="35"/>
        <v>-2.7192975360000003E-2</v>
      </c>
      <c r="Y99" s="60">
        <f t="shared" ref="Y99:Y100" si="43">($Y$92*P88+$Y$97*S88)</f>
        <v>1.042432</v>
      </c>
      <c r="Z99" s="60">
        <f t="shared" si="38"/>
        <v>17.760000000000002</v>
      </c>
      <c r="AA99" s="60">
        <f t="shared" ref="AA99:AA100" si="44">($AA$92*P88+$AA$97*S88)</f>
        <v>41.12</v>
      </c>
      <c r="AB99" s="60">
        <v>0</v>
      </c>
      <c r="AC99" s="60">
        <v>0</v>
      </c>
      <c r="AD99" s="60">
        <v>0</v>
      </c>
      <c r="AE99" s="60">
        <f t="shared" ref="AE99:AE100" si="45">($AE$92*$P$87+$AE$97*S88)</f>
        <v>21.76</v>
      </c>
      <c r="AF99" s="60">
        <f t="shared" ref="AF99:AF100" si="46">($AF$92*P88+$AF$97*S88)</f>
        <v>82.24</v>
      </c>
      <c r="AG99" s="60">
        <v>0</v>
      </c>
      <c r="AH99" s="39"/>
      <c r="AI99" s="39"/>
    </row>
    <row r="100" spans="1:35">
      <c r="A100" s="39" t="s">
        <v>310</v>
      </c>
      <c r="B100" s="64">
        <f>Laskuri!AF30</f>
        <v>0</v>
      </c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60"/>
      <c r="N100" s="60"/>
      <c r="O100" s="60" t="s">
        <v>264</v>
      </c>
      <c r="P100" s="60"/>
      <c r="Q100" s="62">
        <f t="shared" si="39"/>
        <v>4.9796800000000002E-2</v>
      </c>
      <c r="R100" s="62">
        <f t="shared" si="40"/>
        <v>1.0469888000000001</v>
      </c>
      <c r="S100" s="62">
        <f t="shared" si="41"/>
        <v>-0.22015999999999997</v>
      </c>
      <c r="T100" s="62">
        <f t="shared" si="42"/>
        <v>77.295999999999992</v>
      </c>
      <c r="U100" s="63">
        <f t="shared" si="32"/>
        <v>80.92804628479999</v>
      </c>
      <c r="V100" s="63">
        <f t="shared" si="33"/>
        <v>-17.017487359999997</v>
      </c>
      <c r="W100" s="62">
        <f t="shared" si="34"/>
        <v>8.0928046284799993E-2</v>
      </c>
      <c r="X100" s="62">
        <f t="shared" si="35"/>
        <v>-1.7017487359999996E-2</v>
      </c>
      <c r="Y100" s="60">
        <f t="shared" si="43"/>
        <v>1.0396320000000001</v>
      </c>
      <c r="Z100" s="60">
        <f>($Z$92*P89+$Z$97*S89)</f>
        <v>13.759999999999998</v>
      </c>
      <c r="AA100" s="60">
        <f t="shared" si="44"/>
        <v>43.120000000000005</v>
      </c>
      <c r="AB100" s="60">
        <v>0</v>
      </c>
      <c r="AC100" s="60">
        <v>0</v>
      </c>
      <c r="AD100" s="60">
        <v>0</v>
      </c>
      <c r="AE100" s="60">
        <f t="shared" si="45"/>
        <v>21.76</v>
      </c>
      <c r="AF100" s="60">
        <f t="shared" si="46"/>
        <v>86.240000000000009</v>
      </c>
      <c r="AG100" s="60"/>
      <c r="AH100" s="39"/>
      <c r="AI100" s="39"/>
    </row>
    <row r="101" spans="1:35">
      <c r="A101" s="39" t="s">
        <v>311</v>
      </c>
      <c r="B101" s="64">
        <f>Laskuri!AF57</f>
        <v>0</v>
      </c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60">
        <v>3</v>
      </c>
      <c r="N101" s="60" t="str">
        <f>Materiaalilaskut!C75</f>
        <v>Lasivillaeriste, puhallusvilla (Isover InsulSafe)</v>
      </c>
      <c r="O101" s="60" t="s">
        <v>266</v>
      </c>
      <c r="P101" s="60"/>
      <c r="Q101" s="60">
        <f>Materiaalilaskut!D75</f>
        <v>4.1000000000000002E-2</v>
      </c>
      <c r="R101" s="60">
        <f>Materiaalilaskut!E75</f>
        <v>1.2</v>
      </c>
      <c r="S101" s="60">
        <f>Materiaalilaskut!F75</f>
        <v>0</v>
      </c>
      <c r="T101" s="60">
        <f>Materiaalilaskut!G75</f>
        <v>15</v>
      </c>
      <c r="U101" s="63"/>
      <c r="V101" s="63"/>
      <c r="W101" s="62"/>
      <c r="X101" s="62"/>
      <c r="Y101" s="60">
        <v>1.03</v>
      </c>
      <c r="Z101" s="60">
        <v>0</v>
      </c>
      <c r="AA101" s="60">
        <v>50</v>
      </c>
      <c r="AB101" s="60">
        <v>0</v>
      </c>
      <c r="AC101" s="60">
        <v>0</v>
      </c>
      <c r="AD101" s="60">
        <v>0</v>
      </c>
      <c r="AE101" s="60">
        <v>0</v>
      </c>
      <c r="AF101" s="60">
        <v>100</v>
      </c>
      <c r="AG101" s="60">
        <v>0</v>
      </c>
      <c r="AH101" s="39"/>
      <c r="AI101" s="39"/>
    </row>
    <row r="102" spans="1:35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60"/>
      <c r="N102" s="60"/>
      <c r="O102" s="60" t="s">
        <v>262</v>
      </c>
      <c r="P102" s="60"/>
      <c r="Q102" s="62">
        <f>($Q$101*S87+$Q$92*P87)</f>
        <v>6.0366400000000001E-2</v>
      </c>
      <c r="R102" s="62">
        <f>($R$92*P87+$R$101*S87)</f>
        <v>0.9580287999999999</v>
      </c>
      <c r="S102" s="62">
        <f>($S$92*P87+$S$101*S87)</f>
        <v>-0.34816000000000003</v>
      </c>
      <c r="T102" s="62">
        <f>($T$92*P87+$T$101*S87)</f>
        <v>114.87840000000001</v>
      </c>
      <c r="U102" s="63">
        <f t="shared" si="32"/>
        <v>110.05681569792</v>
      </c>
      <c r="V102" s="63">
        <f t="shared" si="33"/>
        <v>-39.996063744000004</v>
      </c>
      <c r="W102" s="62">
        <f t="shared" si="34"/>
        <v>0.11005681569792</v>
      </c>
      <c r="X102" s="62">
        <f t="shared" si="35"/>
        <v>-3.9996063744000006E-2</v>
      </c>
      <c r="Y102" s="60">
        <f>($Y$92*P87+$Y$101*S87)</f>
        <v>1.0452320000000002</v>
      </c>
      <c r="Z102" s="60">
        <f>($Z$92*P87+$Z$101*S87)</f>
        <v>21.76</v>
      </c>
      <c r="AA102" s="60">
        <f>($AA$92*P87+$AA$101*S87)</f>
        <v>39.119999999999997</v>
      </c>
      <c r="AB102" s="60">
        <v>0</v>
      </c>
      <c r="AC102" s="60">
        <v>0</v>
      </c>
      <c r="AD102" s="60">
        <v>0</v>
      </c>
      <c r="AE102" s="60">
        <f>($AE$92*$P$87+$AE$101*S87)</f>
        <v>21.76</v>
      </c>
      <c r="AF102" s="60">
        <f>($AF$92*P87+$AF$101*S87)</f>
        <v>78.239999999999995</v>
      </c>
      <c r="AG102" s="60">
        <v>0</v>
      </c>
      <c r="AH102" s="39"/>
      <c r="AI102" s="39"/>
    </row>
    <row r="103" spans="1:35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60"/>
      <c r="N103" s="60"/>
      <c r="O103" s="60" t="s">
        <v>263</v>
      </c>
      <c r="P103" s="60"/>
      <c r="Q103" s="62">
        <f t="shared" ref="Q103:Q104" si="47">($Q$101*S88+$Q$92*P88)</f>
        <v>5.6806399999999993E-2</v>
      </c>
      <c r="R103" s="62">
        <f t="shared" ref="R103:R104" si="48">($R$92*P88+$R$101*S88)</f>
        <v>1.0025087999999998</v>
      </c>
      <c r="S103" s="62">
        <f t="shared" ref="S103:S104" si="49">($S$92*P88+$S$101*S88)</f>
        <v>-0.28416000000000002</v>
      </c>
      <c r="T103" s="62">
        <f t="shared" ref="T103:T104" si="50">($T$92*P88+$T$101*S88)</f>
        <v>96.5184</v>
      </c>
      <c r="U103" s="63">
        <f t="shared" si="32"/>
        <v>96.760545361919981</v>
      </c>
      <c r="V103" s="63">
        <f t="shared" si="33"/>
        <v>-27.426668544000002</v>
      </c>
      <c r="W103" s="62">
        <f t="shared" si="34"/>
        <v>9.6760545361919983E-2</v>
      </c>
      <c r="X103" s="62">
        <f t="shared" si="35"/>
        <v>-2.7426668544000003E-2</v>
      </c>
      <c r="Y103" s="60">
        <f t="shared" ref="Y103:Y104" si="51">($Y$92*P88+$Y$101*S88)</f>
        <v>1.042432</v>
      </c>
      <c r="Z103" s="60">
        <f t="shared" ref="Z103:Z104" si="52">($Z$92*P88+$Z$101*S88)</f>
        <v>17.760000000000002</v>
      </c>
      <c r="AA103" s="60">
        <f t="shared" ref="AA103:AA104" si="53">($AA$92*P88+$AA$101*S88)</f>
        <v>41.12</v>
      </c>
      <c r="AB103" s="60">
        <v>0</v>
      </c>
      <c r="AC103" s="60">
        <v>0</v>
      </c>
      <c r="AD103" s="60">
        <v>0</v>
      </c>
      <c r="AE103" s="60">
        <f t="shared" ref="AE103:AE104" si="54">($AE$92*$P$87+$AE$101*S88)</f>
        <v>21.76</v>
      </c>
      <c r="AF103" s="60">
        <f t="shared" ref="AF103:AF104" si="55">($AF$92*P88+$AF$101*S88)</f>
        <v>82.24</v>
      </c>
      <c r="AG103" s="60">
        <v>0</v>
      </c>
      <c r="AH103" s="39"/>
      <c r="AI103" s="39"/>
    </row>
    <row r="104" spans="1:3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60"/>
      <c r="N104" s="60"/>
      <c r="O104" s="60" t="s">
        <v>264</v>
      </c>
      <c r="P104" s="60"/>
      <c r="Q104" s="62">
        <f t="shared" si="47"/>
        <v>5.3246399999999999E-2</v>
      </c>
      <c r="R104" s="62">
        <f t="shared" si="48"/>
        <v>1.0469888000000001</v>
      </c>
      <c r="S104" s="62">
        <f t="shared" si="49"/>
        <v>-0.22015999999999997</v>
      </c>
      <c r="T104" s="62">
        <f t="shared" si="50"/>
        <v>78.1584</v>
      </c>
      <c r="U104" s="63">
        <f t="shared" si="32"/>
        <v>81.830969425920003</v>
      </c>
      <c r="V104" s="63">
        <f t="shared" si="33"/>
        <v>-17.207353343999998</v>
      </c>
      <c r="W104" s="62">
        <f t="shared" si="34"/>
        <v>8.1830969425919997E-2</v>
      </c>
      <c r="X104" s="62">
        <f t="shared" si="35"/>
        <v>-1.7207353343999997E-2</v>
      </c>
      <c r="Y104" s="60">
        <f t="shared" si="51"/>
        <v>1.0396320000000001</v>
      </c>
      <c r="Z104" s="60">
        <f t="shared" si="52"/>
        <v>13.759999999999998</v>
      </c>
      <c r="AA104" s="60">
        <f t="shared" si="53"/>
        <v>43.120000000000005</v>
      </c>
      <c r="AB104" s="60">
        <v>0</v>
      </c>
      <c r="AC104" s="60">
        <v>0</v>
      </c>
      <c r="AD104" s="60">
        <v>0</v>
      </c>
      <c r="AE104" s="60">
        <f t="shared" si="54"/>
        <v>21.76</v>
      </c>
      <c r="AF104" s="60">
        <f t="shared" si="55"/>
        <v>86.240000000000009</v>
      </c>
      <c r="AG104" s="60">
        <v>0</v>
      </c>
      <c r="AH104" s="39"/>
      <c r="AI104" s="39"/>
    </row>
    <row r="105" spans="1:35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60">
        <v>4</v>
      </c>
      <c r="N105" s="60" t="str">
        <f>Materiaalilaskut!C87</f>
        <v>Kivivillaeriste, 29,5kg/m3, pieni tiheys (Paroc Extra, 0,36)</v>
      </c>
      <c r="O105" s="60" t="s">
        <v>267</v>
      </c>
      <c r="P105" s="60"/>
      <c r="Q105" s="60">
        <f>Materiaalilaskut!D87</f>
        <v>3.3000000000000002E-2</v>
      </c>
      <c r="R105" s="60">
        <f>Materiaalilaskut!E87</f>
        <v>1.5</v>
      </c>
      <c r="S105" s="60">
        <f>Materiaalilaskut!F87</f>
        <v>0</v>
      </c>
      <c r="T105" s="60">
        <f>Materiaalilaskut!G87</f>
        <v>29.5</v>
      </c>
      <c r="U105" s="63"/>
      <c r="V105" s="63"/>
      <c r="W105" s="62"/>
      <c r="X105" s="62"/>
      <c r="Y105" s="60">
        <v>1.03</v>
      </c>
      <c r="Z105" s="60">
        <v>0</v>
      </c>
      <c r="AA105" s="60">
        <v>0</v>
      </c>
      <c r="AB105" s="60">
        <v>0</v>
      </c>
      <c r="AC105" s="60">
        <v>0</v>
      </c>
      <c r="AD105" s="60">
        <v>0</v>
      </c>
      <c r="AE105" s="60">
        <v>0</v>
      </c>
      <c r="AF105" s="60">
        <v>100</v>
      </c>
      <c r="AG105" s="60">
        <v>0</v>
      </c>
      <c r="AH105" s="39"/>
      <c r="AI105" s="39"/>
    </row>
    <row r="106" spans="1:35">
      <c r="A106" s="39" t="s">
        <v>282</v>
      </c>
      <c r="B106" s="39"/>
      <c r="C106" s="39"/>
      <c r="D106" s="39">
        <f>48+300+48+300+48+300</f>
        <v>1044</v>
      </c>
      <c r="E106" s="39">
        <f>10/45</f>
        <v>0.22222222222222221</v>
      </c>
      <c r="F106" s="39"/>
      <c r="G106" s="39"/>
      <c r="H106" s="39"/>
      <c r="I106" s="39"/>
      <c r="J106" s="39"/>
      <c r="K106" s="39"/>
      <c r="L106" s="39"/>
      <c r="M106" s="60"/>
      <c r="N106" s="60"/>
      <c r="O106" s="60" t="s">
        <v>262</v>
      </c>
      <c r="P106" s="60"/>
      <c r="Q106" s="62">
        <f>($Q$105*S87+$Q$92*P87)</f>
        <v>5.4107200000000008E-2</v>
      </c>
      <c r="R106" s="62">
        <f>($R$92*P87+$R$105*S87)</f>
        <v>1.1927487999999999</v>
      </c>
      <c r="S106" s="62">
        <f>($S$92*P87+$S$105*S87)</f>
        <v>-0.34816000000000003</v>
      </c>
      <c r="T106" s="62">
        <f>($T$92*P87+$T$105*S87)</f>
        <v>126.22320000000001</v>
      </c>
      <c r="U106" s="63">
        <f t="shared" si="32"/>
        <v>150.55257033216</v>
      </c>
      <c r="V106" s="63">
        <f t="shared" si="33"/>
        <v>-43.945869312000006</v>
      </c>
      <c r="W106" s="62">
        <f t="shared" si="34"/>
        <v>0.15055257033215999</v>
      </c>
      <c r="X106" s="62">
        <f t="shared" si="35"/>
        <v>-4.3945869312000008E-2</v>
      </c>
      <c r="Y106" s="60">
        <f>($Y$92*P87+$Y$105*S87)</f>
        <v>1.0452320000000002</v>
      </c>
      <c r="Z106" s="60">
        <f>($Z$92*P87+$Z$105*S87)</f>
        <v>21.76</v>
      </c>
      <c r="AA106" s="60">
        <f>($AA$92*P87+$AA$105*S87)</f>
        <v>0</v>
      </c>
      <c r="AB106" s="60">
        <v>0</v>
      </c>
      <c r="AC106" s="60">
        <v>0</v>
      </c>
      <c r="AD106" s="60">
        <v>0</v>
      </c>
      <c r="AE106" s="60">
        <f>($AE$92*$P$87+$AE$105*S87)</f>
        <v>21.76</v>
      </c>
      <c r="AF106" s="60">
        <f>($AF$92*P87+$AF$105*S87)</f>
        <v>78.239999999999995</v>
      </c>
      <c r="AG106" s="60">
        <v>0</v>
      </c>
      <c r="AH106" s="39"/>
      <c r="AI106" s="39"/>
    </row>
    <row r="107" spans="1:35">
      <c r="A107" s="39">
        <v>0.13</v>
      </c>
      <c r="B107" s="39" t="s">
        <v>286</v>
      </c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60"/>
      <c r="N107" s="60"/>
      <c r="O107" s="60" t="s">
        <v>263</v>
      </c>
      <c r="P107" s="60"/>
      <c r="Q107" s="62">
        <f t="shared" ref="Q107" si="56">($Q$105*S88+$Q$92*P88)</f>
        <v>5.02272E-2</v>
      </c>
      <c r="R107" s="62">
        <f t="shared" ref="R107:R108" si="57">($R$92*P88+$R$105*S88)</f>
        <v>1.2492287999999998</v>
      </c>
      <c r="S107" s="62">
        <f t="shared" ref="S107:S108" si="58">($S$92*P88+$S$105*S88)</f>
        <v>-0.28416000000000002</v>
      </c>
      <c r="T107" s="62">
        <f t="shared" ref="T107:T108" si="59">($T$92*P88+$T$105*S88)</f>
        <v>108.44319999999999</v>
      </c>
      <c r="U107" s="63">
        <f t="shared" si="32"/>
        <v>135.47036860415997</v>
      </c>
      <c r="V107" s="63">
        <f t="shared" si="33"/>
        <v>-30.815219712000001</v>
      </c>
      <c r="W107" s="62">
        <f t="shared" si="34"/>
        <v>0.13547036860415998</v>
      </c>
      <c r="X107" s="62">
        <f t="shared" si="35"/>
        <v>-3.0815219712000002E-2</v>
      </c>
      <c r="Y107" s="60">
        <f t="shared" ref="Y107:Y108" si="60">($Y$92*P88+$Y$105*S88)</f>
        <v>1.042432</v>
      </c>
      <c r="Z107" s="60">
        <f t="shared" ref="Z107:Z108" si="61">($Z$92*P88+$Z$105*S88)</f>
        <v>17.760000000000002</v>
      </c>
      <c r="AA107" s="60">
        <f t="shared" ref="AA107:AA108" si="62">($AA$92*P88+$AA$105*S88)</f>
        <v>0</v>
      </c>
      <c r="AB107" s="60">
        <v>0</v>
      </c>
      <c r="AC107" s="60">
        <v>0</v>
      </c>
      <c r="AD107" s="60">
        <v>0</v>
      </c>
      <c r="AE107" s="60">
        <f t="shared" ref="AE107:AE108" si="63">($AE$92*$P$87+$AE$105*S88)</f>
        <v>21.76</v>
      </c>
      <c r="AF107" s="60">
        <f t="shared" ref="AF107:AF108" si="64">($AF$92*P88+$AF$105*S88)</f>
        <v>82.24</v>
      </c>
      <c r="AG107" s="60">
        <v>0</v>
      </c>
      <c r="AH107" s="39"/>
      <c r="AI107" s="39"/>
    </row>
    <row r="108" spans="1:35">
      <c r="A108" s="39"/>
      <c r="B108" s="39">
        <f>1/((0.04+0.13)+(0.13/A107))</f>
        <v>0.85470085470085477</v>
      </c>
      <c r="C108" s="39"/>
      <c r="D108" s="39"/>
      <c r="E108" s="39"/>
      <c r="F108" s="39"/>
      <c r="G108" s="39"/>
      <c r="H108" s="39"/>
      <c r="I108" s="39" t="s">
        <v>287</v>
      </c>
      <c r="J108" s="39" t="s">
        <v>288</v>
      </c>
      <c r="K108" s="39"/>
      <c r="L108" s="39"/>
      <c r="M108" s="60"/>
      <c r="N108" s="60"/>
      <c r="O108" s="60" t="s">
        <v>264</v>
      </c>
      <c r="P108" s="60"/>
      <c r="Q108" s="60">
        <f>($Q$105*S89+$Q$92*P89)</f>
        <v>4.6347200000000005E-2</v>
      </c>
      <c r="R108" s="60">
        <f t="shared" si="57"/>
        <v>1.3057088000000001</v>
      </c>
      <c r="S108" s="60">
        <f t="shared" si="58"/>
        <v>-0.22015999999999997</v>
      </c>
      <c r="T108" s="60">
        <f t="shared" si="59"/>
        <v>90.663199999999989</v>
      </c>
      <c r="U108" s="63">
        <f t="shared" si="32"/>
        <v>118.37973807616</v>
      </c>
      <c r="V108" s="63">
        <f t="shared" si="33"/>
        <v>-19.960410111999995</v>
      </c>
      <c r="W108" s="62">
        <f t="shared" si="34"/>
        <v>0.11837973807615999</v>
      </c>
      <c r="X108" s="62">
        <f t="shared" si="35"/>
        <v>-1.9960410111999994E-2</v>
      </c>
      <c r="Y108" s="60">
        <f t="shared" si="60"/>
        <v>1.0396320000000001</v>
      </c>
      <c r="Z108" s="60">
        <f t="shared" si="61"/>
        <v>13.759999999999998</v>
      </c>
      <c r="AA108" s="60">
        <f t="shared" si="62"/>
        <v>0</v>
      </c>
      <c r="AB108" s="60">
        <v>0</v>
      </c>
      <c r="AC108" s="60">
        <v>0</v>
      </c>
      <c r="AD108" s="60">
        <v>0</v>
      </c>
      <c r="AE108" s="60">
        <f t="shared" si="63"/>
        <v>21.76</v>
      </c>
      <c r="AF108" s="60">
        <f t="shared" si="64"/>
        <v>86.240000000000009</v>
      </c>
      <c r="AG108" s="60">
        <v>0</v>
      </c>
      <c r="AH108" s="39"/>
      <c r="AI108" s="39"/>
    </row>
    <row r="109" spans="1:35">
      <c r="A109" s="39" t="s">
        <v>284</v>
      </c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60">
        <v>5</v>
      </c>
      <c r="N109" s="60" t="str">
        <f>Materiaalilaskut!C83</f>
        <v>Kivivillaeriste, 61kg/m3, ulkoseiniin</v>
      </c>
      <c r="O109" s="60"/>
      <c r="P109" s="60"/>
      <c r="Q109" s="60">
        <f>Materiaalilaskut!D83</f>
        <v>3.5999999999999997E-2</v>
      </c>
      <c r="R109" s="60">
        <f>Materiaalilaskut!E83</f>
        <v>1.5</v>
      </c>
      <c r="S109" s="60">
        <f>Materiaalilaskut!F83</f>
        <v>0</v>
      </c>
      <c r="T109" s="60">
        <f>Materiaalilaskut!G83</f>
        <v>61</v>
      </c>
      <c r="U109" s="63"/>
      <c r="V109" s="63"/>
      <c r="W109" s="62"/>
      <c r="X109" s="62"/>
      <c r="Y109" s="60">
        <v>1.03</v>
      </c>
      <c r="Z109" s="60">
        <v>0</v>
      </c>
      <c r="AA109" s="60">
        <v>0</v>
      </c>
      <c r="AB109" s="60">
        <v>0</v>
      </c>
      <c r="AC109" s="60">
        <v>0</v>
      </c>
      <c r="AD109" s="60">
        <v>0</v>
      </c>
      <c r="AE109" s="60">
        <v>0</v>
      </c>
      <c r="AF109" s="60">
        <v>100</v>
      </c>
      <c r="AG109" s="60">
        <v>0</v>
      </c>
      <c r="AH109" s="39"/>
      <c r="AI109" s="39"/>
    </row>
    <row r="110" spans="1:35">
      <c r="A110" s="39" t="s">
        <v>262</v>
      </c>
      <c r="B110" s="39">
        <v>34</v>
      </c>
      <c r="C110" s="39">
        <v>10</v>
      </c>
      <c r="D110" s="39" t="s">
        <v>78</v>
      </c>
      <c r="E110" s="39">
        <f>B110*0.048</f>
        <v>1.6320000000000001</v>
      </c>
      <c r="F110" s="39"/>
      <c r="G110" s="39">
        <f>E110/C110</f>
        <v>0.16320000000000001</v>
      </c>
      <c r="H110" s="39" t="s">
        <v>10</v>
      </c>
      <c r="I110" s="56">
        <f>$A$107/G110</f>
        <v>0.79656862745098034</v>
      </c>
      <c r="J110" s="58">
        <f>2*I110</f>
        <v>1.5931372549019607</v>
      </c>
      <c r="K110" s="39"/>
      <c r="L110" s="39"/>
      <c r="M110" s="60"/>
      <c r="N110" s="60"/>
      <c r="O110" s="60" t="s">
        <v>262</v>
      </c>
      <c r="P110" s="60"/>
      <c r="Q110" s="62">
        <f>($Q$109*S87+$Q$92*P87)</f>
        <v>5.6454400000000002E-2</v>
      </c>
      <c r="R110" s="62">
        <f>($R$92*P87+$R$109*S87)</f>
        <v>1.1927487999999999</v>
      </c>
      <c r="S110" s="62">
        <f>($S$92*P87+$S$109*S87)</f>
        <v>-0.34816000000000003</v>
      </c>
      <c r="T110" s="62">
        <f>($T$92*P87+$T$109*S87)</f>
        <v>150.86880000000002</v>
      </c>
      <c r="U110" s="63">
        <f t="shared" si="32"/>
        <v>179.94858015744001</v>
      </c>
      <c r="V110" s="63">
        <f t="shared" si="33"/>
        <v>-52.526481408000009</v>
      </c>
      <c r="W110" s="62">
        <f t="shared" si="34"/>
        <v>0.17994858015744</v>
      </c>
      <c r="X110" s="62">
        <f t="shared" si="35"/>
        <v>-5.2526481408000009E-2</v>
      </c>
      <c r="Y110" s="60">
        <f>($Y$92*P87+$Y$109*S87)</f>
        <v>1.0452320000000002</v>
      </c>
      <c r="Z110" s="60">
        <f>($Z$92*P87+$Z$109*S87)</f>
        <v>21.76</v>
      </c>
      <c r="AA110" s="60">
        <f>($AA$92*P87+$AA$109*S87)</f>
        <v>0</v>
      </c>
      <c r="AB110" s="60">
        <v>0</v>
      </c>
      <c r="AC110" s="60">
        <v>0</v>
      </c>
      <c r="AD110" s="60">
        <v>0</v>
      </c>
      <c r="AE110" s="60">
        <f>($AE$92*$P$87+$AE$109*S87)</f>
        <v>21.76</v>
      </c>
      <c r="AF110" s="60">
        <f>($AF$92*P87+$AF$109*S87)</f>
        <v>78.239999999999995</v>
      </c>
      <c r="AG110" s="60">
        <v>0</v>
      </c>
      <c r="AH110" s="39"/>
      <c r="AI110" s="39"/>
    </row>
    <row r="111" spans="1:35">
      <c r="A111" s="39" t="s">
        <v>263</v>
      </c>
      <c r="B111" s="39">
        <v>26</v>
      </c>
      <c r="C111" s="39">
        <v>10</v>
      </c>
      <c r="D111" s="39" t="s">
        <v>78</v>
      </c>
      <c r="E111" s="39">
        <f t="shared" ref="E111" si="65">B111*0.048</f>
        <v>1.248</v>
      </c>
      <c r="F111" s="39"/>
      <c r="G111" s="39">
        <f t="shared" ref="G111" si="66">E111/C111</f>
        <v>0.12479999999999999</v>
      </c>
      <c r="H111" s="39" t="s">
        <v>10</v>
      </c>
      <c r="I111" s="56">
        <f>$A$107/G111</f>
        <v>1.0416666666666667</v>
      </c>
      <c r="J111" s="58">
        <f t="shared" ref="J111:J116" si="67">2*I111</f>
        <v>2.0833333333333335</v>
      </c>
      <c r="K111" s="39"/>
      <c r="L111" s="39"/>
      <c r="M111" s="60"/>
      <c r="N111" s="60"/>
      <c r="O111" s="60" t="s">
        <v>263</v>
      </c>
      <c r="P111" s="60"/>
      <c r="Q111" s="62">
        <f t="shared" ref="Q111:Q112" si="68">($Q$109*S88+$Q$92*P88)</f>
        <v>5.2694399999999995E-2</v>
      </c>
      <c r="R111" s="62">
        <f t="shared" ref="R111:R112" si="69">($R$92*P88+$R$109*S88)</f>
        <v>1.2492287999999998</v>
      </c>
      <c r="S111" s="62">
        <f t="shared" ref="S111:S112" si="70">($S$92*P88+$S$109*S88)</f>
        <v>-0.28416000000000002</v>
      </c>
      <c r="T111" s="62">
        <f t="shared" ref="T111:T112" si="71">($T$92*P88+$T$109*S88)</f>
        <v>134.34879999999998</v>
      </c>
      <c r="U111" s="63">
        <f t="shared" si="32"/>
        <v>167.83239020543996</v>
      </c>
      <c r="V111" s="63">
        <f t="shared" si="33"/>
        <v>-38.176555008000001</v>
      </c>
      <c r="W111" s="62">
        <f t="shared" si="34"/>
        <v>0.16783239020543997</v>
      </c>
      <c r="X111" s="62">
        <f t="shared" si="35"/>
        <v>-3.8176555008000004E-2</v>
      </c>
      <c r="Y111" s="60">
        <f t="shared" ref="Y111:Y112" si="72">($Y$92*P88+$Y$109*S88)</f>
        <v>1.042432</v>
      </c>
      <c r="Z111" s="60">
        <f t="shared" ref="Z111:Z112" si="73">($Z$92*P88+$Z$109*S88)</f>
        <v>17.760000000000002</v>
      </c>
      <c r="AA111" s="60">
        <f t="shared" ref="AA111:AA112" si="74">($AA$92*P88+$AA$109*S88)</f>
        <v>0</v>
      </c>
      <c r="AB111" s="60">
        <v>0</v>
      </c>
      <c r="AC111" s="60">
        <v>0</v>
      </c>
      <c r="AD111" s="60">
        <v>0</v>
      </c>
      <c r="AE111" s="60">
        <f t="shared" ref="AE111:AE112" si="75">($AE$92*$P$87+$AE$109*S88)</f>
        <v>21.76</v>
      </c>
      <c r="AF111" s="60">
        <f t="shared" ref="AF111:AF112" si="76">($AF$92*P88+$AF$109*S88)</f>
        <v>82.24</v>
      </c>
      <c r="AG111" s="60">
        <v>0</v>
      </c>
      <c r="AH111" s="39"/>
      <c r="AI111" s="39"/>
    </row>
    <row r="112" spans="1:35">
      <c r="A112" s="39" t="s">
        <v>264</v>
      </c>
      <c r="B112" s="39">
        <v>17</v>
      </c>
      <c r="C112" s="39">
        <v>10</v>
      </c>
      <c r="D112" s="39" t="s">
        <v>78</v>
      </c>
      <c r="E112" s="39">
        <f>B112*0.048</f>
        <v>0.81600000000000006</v>
      </c>
      <c r="F112" s="39"/>
      <c r="G112" s="39">
        <f>E112/C112</f>
        <v>8.1600000000000006E-2</v>
      </c>
      <c r="H112" s="39" t="s">
        <v>10</v>
      </c>
      <c r="I112" s="56">
        <f>$A$107/G112</f>
        <v>1.5931372549019607</v>
      </c>
      <c r="J112" s="58">
        <f t="shared" si="67"/>
        <v>3.1862745098039214</v>
      </c>
      <c r="K112" s="39"/>
      <c r="L112" s="39"/>
      <c r="M112" s="60"/>
      <c r="N112" s="60"/>
      <c r="O112" s="60" t="s">
        <v>264</v>
      </c>
      <c r="P112" s="60"/>
      <c r="Q112" s="62">
        <f t="shared" si="68"/>
        <v>4.8934399999999996E-2</v>
      </c>
      <c r="R112" s="62">
        <f t="shared" si="69"/>
        <v>1.3057088000000001</v>
      </c>
      <c r="S112" s="62">
        <f t="shared" si="70"/>
        <v>-0.22015999999999997</v>
      </c>
      <c r="T112" s="62">
        <f t="shared" si="71"/>
        <v>117.8288</v>
      </c>
      <c r="U112" s="63">
        <f t="shared" si="32"/>
        <v>153.85010105344003</v>
      </c>
      <c r="V112" s="63">
        <f t="shared" si="33"/>
        <v>-25.941188607999997</v>
      </c>
      <c r="W112" s="62">
        <f t="shared" si="34"/>
        <v>0.15385010105344002</v>
      </c>
      <c r="X112" s="62">
        <f t="shared" si="35"/>
        <v>-2.5941188607999998E-2</v>
      </c>
      <c r="Y112" s="60">
        <f t="shared" si="72"/>
        <v>1.0396320000000001</v>
      </c>
      <c r="Z112" s="60">
        <f t="shared" si="73"/>
        <v>13.759999999999998</v>
      </c>
      <c r="AA112" s="60">
        <f t="shared" si="74"/>
        <v>0</v>
      </c>
      <c r="AB112" s="60">
        <v>0</v>
      </c>
      <c r="AC112" s="60">
        <v>0</v>
      </c>
      <c r="AD112" s="60">
        <v>0</v>
      </c>
      <c r="AE112" s="60">
        <f t="shared" si="75"/>
        <v>21.76</v>
      </c>
      <c r="AF112" s="60">
        <f t="shared" si="76"/>
        <v>86.240000000000009</v>
      </c>
      <c r="AG112" s="60">
        <v>0</v>
      </c>
      <c r="AH112" s="39"/>
      <c r="AI112" s="39"/>
    </row>
    <row r="113" spans="1:35">
      <c r="A113" s="39" t="s">
        <v>283</v>
      </c>
      <c r="B113" s="39"/>
      <c r="C113" s="39"/>
      <c r="D113" s="39"/>
      <c r="E113" s="39"/>
      <c r="F113" s="39"/>
      <c r="G113" s="39"/>
      <c r="H113" s="39"/>
      <c r="I113" s="56"/>
      <c r="J113" s="58"/>
      <c r="K113" s="39"/>
      <c r="L113" s="39"/>
      <c r="M113" s="39">
        <v>6</v>
      </c>
      <c r="N113" s="39" t="str">
        <f>Materiaalilaskut!C79</f>
        <v>Kivivillaeriste, 33kg/m3, puhallusvilla (InsulSafe)</v>
      </c>
      <c r="O113" s="39" t="s">
        <v>268</v>
      </c>
      <c r="P113" s="39"/>
      <c r="Q113" s="39">
        <f>Materiaalilaskut!D79</f>
        <v>4.1000000000000002E-2</v>
      </c>
      <c r="R113" s="39">
        <f>Materiaalilaskut!E79</f>
        <v>1.5</v>
      </c>
      <c r="S113" s="39">
        <f>Materiaalilaskut!F79</f>
        <v>0</v>
      </c>
      <c r="T113" s="39">
        <f>Materiaalilaskut!G79</f>
        <v>33</v>
      </c>
      <c r="U113" s="58"/>
      <c r="V113" s="58"/>
      <c r="W113" s="56"/>
      <c r="X113" s="56"/>
      <c r="Y113" s="39">
        <v>1.01</v>
      </c>
      <c r="Z113" s="39">
        <v>0</v>
      </c>
      <c r="AA113" s="39">
        <v>0</v>
      </c>
      <c r="AB113" s="39">
        <v>0</v>
      </c>
      <c r="AC113" s="39">
        <v>0</v>
      </c>
      <c r="AD113" s="39">
        <v>0</v>
      </c>
      <c r="AE113" s="39">
        <v>0</v>
      </c>
      <c r="AF113" s="39">
        <v>100</v>
      </c>
      <c r="AG113" s="39">
        <v>0</v>
      </c>
      <c r="AH113" s="39"/>
      <c r="AI113" s="39"/>
    </row>
    <row r="114" spans="1:35">
      <c r="A114" s="39" t="s">
        <v>262</v>
      </c>
      <c r="B114" s="39">
        <v>34</v>
      </c>
      <c r="C114" s="39">
        <v>10</v>
      </c>
      <c r="D114" s="39" t="s">
        <v>78</v>
      </c>
      <c r="E114" s="39">
        <f>B114*0.1</f>
        <v>3.4000000000000004</v>
      </c>
      <c r="F114" s="39" t="s">
        <v>285</v>
      </c>
      <c r="G114" s="39">
        <f>E114/C114</f>
        <v>0.34</v>
      </c>
      <c r="H114" s="39" t="s">
        <v>10</v>
      </c>
      <c r="I114" s="56">
        <f>$A$107/G114</f>
        <v>0.38235294117647056</v>
      </c>
      <c r="J114" s="58">
        <f t="shared" si="67"/>
        <v>0.76470588235294112</v>
      </c>
      <c r="K114" s="39"/>
      <c r="L114" s="39"/>
      <c r="M114" s="39"/>
      <c r="N114" s="39"/>
      <c r="O114" s="39" t="s">
        <v>262</v>
      </c>
      <c r="P114" s="39"/>
      <c r="Q114" s="56">
        <f>($Q$113*S87+$Q$92*P87)</f>
        <v>6.0366400000000001E-2</v>
      </c>
      <c r="R114" s="56">
        <f>($R$92*P87+$R$113*S87)</f>
        <v>1.1927487999999999</v>
      </c>
      <c r="S114" s="56">
        <f>($S$92*P87+$S113*S87)</f>
        <v>-0.34816000000000003</v>
      </c>
      <c r="T114" s="56">
        <f>($T$92*P87+$T$113*S87)</f>
        <v>128.9616</v>
      </c>
      <c r="U114" s="58">
        <f t="shared" si="32"/>
        <v>153.81879364608</v>
      </c>
      <c r="V114" s="58">
        <f t="shared" si="33"/>
        <v>-44.899270656000006</v>
      </c>
      <c r="W114" s="56">
        <f t="shared" si="34"/>
        <v>0.15381879364608</v>
      </c>
      <c r="X114" s="56">
        <f t="shared" si="35"/>
        <v>-4.4899270656000009E-2</v>
      </c>
      <c r="Y114" s="39">
        <f>($Y$92*P87+$Y$113*S87)</f>
        <v>1.0295840000000001</v>
      </c>
      <c r="Z114" s="39">
        <f>($Z$92*P87+$Z$113*S87)</f>
        <v>21.76</v>
      </c>
      <c r="AA114" s="39">
        <f>($AA$92*P87+$AA$113*S87)</f>
        <v>0</v>
      </c>
      <c r="AB114" s="39">
        <v>0</v>
      </c>
      <c r="AC114" s="39">
        <v>0</v>
      </c>
      <c r="AD114" s="39">
        <v>0</v>
      </c>
      <c r="AE114" s="39">
        <f>($AE$92*$P$87+$AE$113*S87)</f>
        <v>21.76</v>
      </c>
      <c r="AF114" s="39">
        <f>($AF$92*P87+$AF$113*S87)</f>
        <v>78.239999999999995</v>
      </c>
      <c r="AG114" s="39">
        <v>0</v>
      </c>
      <c r="AH114" s="39"/>
      <c r="AI114" s="39"/>
    </row>
    <row r="115" spans="1:35">
      <c r="A115" s="39" t="s">
        <v>263</v>
      </c>
      <c r="B115" s="39">
        <v>26</v>
      </c>
      <c r="C115" s="39">
        <v>10</v>
      </c>
      <c r="D115" s="39" t="s">
        <v>78</v>
      </c>
      <c r="E115" s="39">
        <f t="shared" ref="E115:E116" si="77">B115*0.1</f>
        <v>2.6</v>
      </c>
      <c r="F115" s="39" t="s">
        <v>285</v>
      </c>
      <c r="G115" s="39">
        <f t="shared" ref="G115:G116" si="78">E115/C115</f>
        <v>0.26</v>
      </c>
      <c r="H115" s="39" t="s">
        <v>10</v>
      </c>
      <c r="I115" s="56">
        <f>$A$107/G115</f>
        <v>0.5</v>
      </c>
      <c r="J115" s="58">
        <f t="shared" si="67"/>
        <v>1</v>
      </c>
      <c r="K115" s="39"/>
      <c r="L115" s="39"/>
      <c r="M115" s="39"/>
      <c r="N115" s="39"/>
      <c r="O115" s="39" t="s">
        <v>263</v>
      </c>
      <c r="P115" s="39"/>
      <c r="Q115" s="56">
        <f t="shared" ref="Q115:Q116" si="79">($Q$113*S88+$Q$92*P88)</f>
        <v>5.6806399999999993E-2</v>
      </c>
      <c r="R115" s="56">
        <f t="shared" ref="R115:R116" si="80">($R$92*P88+$R$113*S88)</f>
        <v>1.2492287999999998</v>
      </c>
      <c r="S115" s="56">
        <f t="shared" ref="S115:S116" si="81">($S$92*P88+$S114*S88)</f>
        <v>-0.57048678400000008</v>
      </c>
      <c r="T115" s="56">
        <f>($T$92*P88+$T$113*S88)</f>
        <v>111.32159999999999</v>
      </c>
      <c r="U115" s="58">
        <f t="shared" si="32"/>
        <v>139.06614878207998</v>
      </c>
      <c r="V115" s="58">
        <f t="shared" si="33"/>
        <v>-63.507501573734402</v>
      </c>
      <c r="W115" s="56">
        <f t="shared" si="34"/>
        <v>0.13906614878207998</v>
      </c>
      <c r="X115" s="56">
        <f t="shared" si="35"/>
        <v>-6.3507501573734401E-2</v>
      </c>
      <c r="Y115" s="39">
        <f t="shared" ref="Y115:Y116" si="82">($Y$92*P88+$Y$113*S88)</f>
        <v>1.025984</v>
      </c>
      <c r="Z115" s="39">
        <f>($Z$92*P88+$Z$113*S88)</f>
        <v>17.760000000000002</v>
      </c>
      <c r="AA115" s="39">
        <f>($AA$92*P88+$AA$113*S88)</f>
        <v>0</v>
      </c>
      <c r="AB115" s="39">
        <v>0</v>
      </c>
      <c r="AC115" s="39">
        <v>0</v>
      </c>
      <c r="AD115" s="39">
        <v>0</v>
      </c>
      <c r="AE115" s="39">
        <f t="shared" ref="AE115:AE116" si="83">($AE$92*$P$87+$AE$113*S88)</f>
        <v>21.76</v>
      </c>
      <c r="AF115" s="39">
        <f t="shared" ref="AF115:AF116" si="84">($AF$92*P88+$AF$113*S88)</f>
        <v>82.24</v>
      </c>
      <c r="AG115" s="39">
        <v>0</v>
      </c>
      <c r="AH115" s="39"/>
      <c r="AI115" s="39"/>
    </row>
    <row r="116" spans="1:35">
      <c r="A116" s="39" t="s">
        <v>264</v>
      </c>
      <c r="B116" s="39">
        <v>17</v>
      </c>
      <c r="C116" s="39">
        <v>10</v>
      </c>
      <c r="D116" s="39" t="s">
        <v>78</v>
      </c>
      <c r="E116" s="39">
        <f t="shared" si="77"/>
        <v>1.7000000000000002</v>
      </c>
      <c r="F116" s="39" t="s">
        <v>285</v>
      </c>
      <c r="G116" s="39">
        <f t="shared" si="78"/>
        <v>0.17</v>
      </c>
      <c r="H116" s="39" t="s">
        <v>10</v>
      </c>
      <c r="I116" s="56">
        <f>$A$107/G116</f>
        <v>0.76470588235294112</v>
      </c>
      <c r="J116" s="58">
        <f t="shared" si="67"/>
        <v>1.5294117647058822</v>
      </c>
      <c r="K116" s="39"/>
      <c r="L116" s="39"/>
      <c r="M116" s="39"/>
      <c r="N116" s="39"/>
      <c r="O116" s="39" t="s">
        <v>264</v>
      </c>
      <c r="P116" s="39"/>
      <c r="Q116" s="56">
        <f t="shared" si="79"/>
        <v>5.3246399999999999E-2</v>
      </c>
      <c r="R116" s="56">
        <f t="shared" si="80"/>
        <v>1.3057088000000001</v>
      </c>
      <c r="S116" s="56">
        <f t="shared" si="81"/>
        <v>-0.71214780252160015</v>
      </c>
      <c r="T116" s="56">
        <f>($T$92*P89+$T$113*S89)</f>
        <v>93.681600000000003</v>
      </c>
      <c r="U116" s="58">
        <f t="shared" si="32"/>
        <v>122.32088951808001</v>
      </c>
      <c r="V116" s="58">
        <f t="shared" si="33"/>
        <v>-66.715145576707542</v>
      </c>
      <c r="W116" s="56">
        <f t="shared" si="34"/>
        <v>0.12232088951808001</v>
      </c>
      <c r="X116" s="56">
        <f t="shared" si="35"/>
        <v>-6.6715145576707546E-2</v>
      </c>
      <c r="Y116" s="39">
        <f t="shared" si="82"/>
        <v>1.022384</v>
      </c>
      <c r="Z116" s="39">
        <f>($Z$92*P89+$Z$113*S89)</f>
        <v>13.759999999999998</v>
      </c>
      <c r="AA116" s="39">
        <f>($AA$92*P89+$AA$113*S89)</f>
        <v>0</v>
      </c>
      <c r="AB116" s="39">
        <v>0</v>
      </c>
      <c r="AC116" s="39">
        <v>0</v>
      </c>
      <c r="AD116" s="39">
        <v>0</v>
      </c>
      <c r="AE116" s="39">
        <f t="shared" si="83"/>
        <v>21.76</v>
      </c>
      <c r="AF116" s="39">
        <f t="shared" si="84"/>
        <v>86.240000000000009</v>
      </c>
      <c r="AG116" s="39">
        <v>0</v>
      </c>
      <c r="AH116" s="39"/>
      <c r="AI116" s="39"/>
    </row>
    <row r="117" spans="1:35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>
        <v>7</v>
      </c>
      <c r="N117" s="60" t="str">
        <f>Materiaalilaskut!C58</f>
        <v>Selluvilla-levy</v>
      </c>
      <c r="O117" s="60"/>
      <c r="P117" s="60"/>
      <c r="Q117" s="60">
        <f>Materiaalilaskut!D58</f>
        <v>0.04</v>
      </c>
      <c r="R117" s="60">
        <f>Materiaalilaskut!E58</f>
        <v>1.02</v>
      </c>
      <c r="S117" s="60">
        <f>Materiaalilaskut!F58</f>
        <v>-1.1000000000000001</v>
      </c>
      <c r="T117" s="60">
        <f>Materiaalilaskut!G58</f>
        <v>37</v>
      </c>
      <c r="U117" s="63"/>
      <c r="V117" s="63"/>
      <c r="W117" s="62"/>
      <c r="X117" s="62"/>
      <c r="Y117" s="60">
        <v>1.03</v>
      </c>
      <c r="Z117" s="60">
        <v>70</v>
      </c>
      <c r="AA117" s="60">
        <v>80</v>
      </c>
      <c r="AB117" s="60">
        <v>3</v>
      </c>
      <c r="AC117" s="60">
        <v>0</v>
      </c>
      <c r="AD117" s="60">
        <v>0</v>
      </c>
      <c r="AE117" s="60">
        <v>50</v>
      </c>
      <c r="AF117" s="60">
        <v>50</v>
      </c>
      <c r="AG117" s="60">
        <v>0</v>
      </c>
      <c r="AH117" s="39"/>
      <c r="AI117" s="39"/>
    </row>
    <row r="118" spans="1:35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60"/>
      <c r="O118" s="60" t="s">
        <v>262</v>
      </c>
      <c r="P118" s="60"/>
      <c r="Q118" s="62">
        <f>($Q$117*S87+$Q$92*P87)</f>
        <v>5.9583999999999998E-2</v>
      </c>
      <c r="R118" s="62">
        <f>($R$92*P87+$R$117*S87)</f>
        <v>0.81719679999999995</v>
      </c>
      <c r="S118" s="62">
        <f>($S$92*P87+$S$117*S87)</f>
        <v>-1.2088000000000001</v>
      </c>
      <c r="T118" s="62">
        <f>($T$92*P87+$T$117*S87)</f>
        <v>132.09120000000001</v>
      </c>
      <c r="U118" s="63">
        <f t="shared" si="32"/>
        <v>107.94450594816</v>
      </c>
      <c r="V118" s="63">
        <f t="shared" si="33"/>
        <v>-159.67184256000004</v>
      </c>
      <c r="W118" s="62">
        <f t="shared" si="34"/>
        <v>0.10794450594816</v>
      </c>
      <c r="X118" s="62">
        <f t="shared" si="35"/>
        <v>-0.15967184256000005</v>
      </c>
      <c r="Y118" s="60">
        <f>($Y$92*P87+$Y$117*S87)</f>
        <v>1.0452320000000002</v>
      </c>
      <c r="Z118" s="60">
        <f>($Z$92*P87+$Z$117*S87)</f>
        <v>76.528000000000006</v>
      </c>
      <c r="AA118" s="60">
        <f>($AA$92*P87+$AA$117*S87)</f>
        <v>62.591999999999999</v>
      </c>
      <c r="AB118" s="60">
        <f>(AB92*P87+AB121*S87)</f>
        <v>2.3472</v>
      </c>
      <c r="AC118" s="60">
        <v>0</v>
      </c>
      <c r="AD118" s="60">
        <v>0</v>
      </c>
      <c r="AE118" s="60">
        <f>($AE$92*$P$87+$AE$117*S87)</f>
        <v>60.879999999999995</v>
      </c>
      <c r="AF118" s="60">
        <f>($AF$92*P87+$AF$117*S87)</f>
        <v>39.119999999999997</v>
      </c>
      <c r="AG118" s="60">
        <v>0</v>
      </c>
      <c r="AH118" s="39"/>
      <c r="AI118" s="39"/>
    </row>
    <row r="119" spans="1:35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60"/>
      <c r="O119" s="60" t="s">
        <v>263</v>
      </c>
      <c r="P119" s="60"/>
      <c r="Q119" s="62">
        <f t="shared" ref="Q119:Q120" si="85">($Q$117*S88+$Q$92*P88)</f>
        <v>5.5983999999999992E-2</v>
      </c>
      <c r="R119" s="62">
        <f t="shared" ref="R119:R120" si="86">($R$92*P88+$R$117*S88)</f>
        <v>0.85447679999999993</v>
      </c>
      <c r="S119" s="62">
        <f t="shared" ref="S119:S120" si="87">($S$92*P88+$S$117*S88)</f>
        <v>-1.1888000000000001</v>
      </c>
      <c r="T119" s="62">
        <f t="shared" ref="T119:T120" si="88">($T$92*P88+$T$117*S88)</f>
        <v>114.6112</v>
      </c>
      <c r="U119" s="63">
        <f t="shared" si="32"/>
        <v>97.932611420159986</v>
      </c>
      <c r="V119" s="63">
        <f t="shared" si="33"/>
        <v>-136.24979456</v>
      </c>
      <c r="W119" s="62">
        <f t="shared" si="34"/>
        <v>9.7932611420159993E-2</v>
      </c>
      <c r="X119" s="62">
        <f t="shared" si="35"/>
        <v>-0.13624979456</v>
      </c>
      <c r="Y119" s="60">
        <f t="shared" ref="Y119:Y120" si="89">($Y$92*P88+$Y$117*S88)</f>
        <v>1.042432</v>
      </c>
      <c r="Z119" s="60">
        <f t="shared" ref="Z119:Z120" si="90">($Z$92*P88+$Z$117*S88)</f>
        <v>75.327999999999989</v>
      </c>
      <c r="AA119" s="60">
        <f t="shared" ref="AA119:AA120" si="91">($AA$92*P88+$AA$117*S88)</f>
        <v>65.791999999999987</v>
      </c>
      <c r="AB119" s="60">
        <f>($AB$92*P88+$AB$121*S88)</f>
        <v>2.4671999999999996</v>
      </c>
      <c r="AC119" s="60">
        <v>0</v>
      </c>
      <c r="AD119" s="60">
        <v>0</v>
      </c>
      <c r="AE119" s="60">
        <f t="shared" ref="AE119:AE120" si="92">($AE$92*$P$87+$AE$117*S88)</f>
        <v>62.879999999999995</v>
      </c>
      <c r="AF119" s="60">
        <f t="shared" ref="AF119:AF120" si="93">($AF$92*P88+$AF$117*S88)</f>
        <v>41.12</v>
      </c>
      <c r="AG119" s="60">
        <v>0</v>
      </c>
      <c r="AH119" s="39"/>
      <c r="AI119" s="39"/>
    </row>
    <row r="120" spans="1:35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60"/>
      <c r="O120" s="60" t="s">
        <v>264</v>
      </c>
      <c r="P120" s="60"/>
      <c r="Q120" s="62">
        <f t="shared" si="85"/>
        <v>5.2384E-2</v>
      </c>
      <c r="R120" s="62">
        <f t="shared" si="86"/>
        <v>0.89175680000000013</v>
      </c>
      <c r="S120" s="62">
        <f t="shared" si="87"/>
        <v>-1.1688000000000001</v>
      </c>
      <c r="T120" s="62">
        <f t="shared" si="88"/>
        <v>97.131199999999993</v>
      </c>
      <c r="U120" s="63">
        <f t="shared" si="32"/>
        <v>86.617408092160005</v>
      </c>
      <c r="V120" s="63">
        <f t="shared" si="33"/>
        <v>-113.52694656</v>
      </c>
      <c r="W120" s="62">
        <f t="shared" si="34"/>
        <v>8.6617408092160009E-2</v>
      </c>
      <c r="X120" s="62">
        <f t="shared" si="35"/>
        <v>-0.11352694655999999</v>
      </c>
      <c r="Y120" s="60">
        <f t="shared" si="89"/>
        <v>1.0396320000000001</v>
      </c>
      <c r="Z120" s="60">
        <f t="shared" si="90"/>
        <v>74.128</v>
      </c>
      <c r="AA120" s="60">
        <f t="shared" si="91"/>
        <v>68.992000000000004</v>
      </c>
      <c r="AB120" s="60">
        <f>($AB$92*P89+$AB$121*S89)</f>
        <v>2.5872000000000002</v>
      </c>
      <c r="AC120" s="60">
        <v>0</v>
      </c>
      <c r="AD120" s="60">
        <v>0</v>
      </c>
      <c r="AE120" s="60">
        <f t="shared" si="92"/>
        <v>64.88000000000001</v>
      </c>
      <c r="AF120" s="60">
        <f t="shared" si="93"/>
        <v>43.120000000000005</v>
      </c>
      <c r="AG120" s="60">
        <v>0</v>
      </c>
      <c r="AH120" s="39"/>
      <c r="AI120" s="39"/>
    </row>
    <row r="121" spans="1:35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>
        <v>8</v>
      </c>
      <c r="N121" s="60" t="str">
        <f>Materiaalilaskut!C62</f>
        <v>Selluvilla-puhallus</v>
      </c>
      <c r="O121" s="60"/>
      <c r="P121" s="60"/>
      <c r="Q121" s="60">
        <f>Materiaalilaskut!D62</f>
        <v>3.9E-2</v>
      </c>
      <c r="R121" s="60">
        <f>Materiaalilaskut!E62</f>
        <v>0.108</v>
      </c>
      <c r="S121" s="60">
        <f>Materiaalilaskut!F62</f>
        <v>-1.2</v>
      </c>
      <c r="T121" s="60">
        <f>Materiaalilaskut!G62</f>
        <v>30</v>
      </c>
      <c r="U121" s="63"/>
      <c r="V121" s="63"/>
      <c r="W121" s="62"/>
      <c r="X121" s="62"/>
      <c r="Y121" s="60">
        <v>1.01</v>
      </c>
      <c r="Z121" s="60">
        <v>78</v>
      </c>
      <c r="AA121" s="60">
        <v>90</v>
      </c>
      <c r="AB121" s="60">
        <v>3</v>
      </c>
      <c r="AC121" s="60">
        <v>0</v>
      </c>
      <c r="AD121" s="60">
        <v>20</v>
      </c>
      <c r="AE121" s="60">
        <v>40</v>
      </c>
      <c r="AF121" s="60">
        <v>40</v>
      </c>
      <c r="AG121" s="60">
        <v>0</v>
      </c>
      <c r="AH121" s="39"/>
      <c r="AI121" s="39"/>
    </row>
    <row r="122" spans="1:3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60"/>
      <c r="O122" s="60" t="s">
        <v>262</v>
      </c>
      <c r="P122" s="60"/>
      <c r="Q122" s="62">
        <f>($Q$121*S87+$Q$92*P87)</f>
        <v>5.8801600000000002E-2</v>
      </c>
      <c r="R122" s="62">
        <f>($R$92*P87+$R$121*S87)</f>
        <v>0.10364799999999999</v>
      </c>
      <c r="S122" s="62">
        <f>($S$92*P87+$S$121*S87)</f>
        <v>-1.28704</v>
      </c>
      <c r="T122" s="62">
        <f>($T$92*P87+$T$121*S87)</f>
        <v>126.61440000000002</v>
      </c>
      <c r="U122" s="63">
        <f t="shared" si="32"/>
        <v>13.123329331200001</v>
      </c>
      <c r="V122" s="63">
        <f t="shared" si="33"/>
        <v>-162.95779737600003</v>
      </c>
      <c r="W122" s="62">
        <f t="shared" si="34"/>
        <v>1.3123329331200001E-2</v>
      </c>
      <c r="X122" s="62">
        <f t="shared" si="35"/>
        <v>-0.16295779737600002</v>
      </c>
      <c r="Y122" s="60">
        <f>($Y$92*P87+$Y$121*S87)</f>
        <v>1.0295840000000001</v>
      </c>
      <c r="Z122" s="60">
        <f>($Z$92*P87+$Z$121*S87)</f>
        <v>82.787199999999999</v>
      </c>
      <c r="AA122" s="60">
        <f>($AA$92*P87+$AA$121*S87)</f>
        <v>70.415999999999997</v>
      </c>
      <c r="AB122" s="60">
        <f>($AB$92*P87+$AB$121*S87)</f>
        <v>2.3472</v>
      </c>
      <c r="AC122" s="60">
        <v>0</v>
      </c>
      <c r="AD122" s="60">
        <f>(AD92*P87+AD121*S87)</f>
        <v>15.648</v>
      </c>
      <c r="AE122" s="60">
        <f>($AE$92*$P$87+$AE$121*S87)</f>
        <v>53.055999999999997</v>
      </c>
      <c r="AF122" s="60">
        <f>($AF$92*P87+$AF$121*S87)</f>
        <v>31.295999999999999</v>
      </c>
      <c r="AG122" s="60">
        <v>0</v>
      </c>
      <c r="AH122" s="39"/>
      <c r="AI122" s="39"/>
    </row>
    <row r="123" spans="1:35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60"/>
      <c r="O123" s="60" t="s">
        <v>263</v>
      </c>
      <c r="P123" s="60"/>
      <c r="Q123" s="62">
        <f t="shared" ref="Q123:Q124" si="94">($Q$121*S88+$Q$92*P88)</f>
        <v>5.5161599999999991E-2</v>
      </c>
      <c r="R123" s="62">
        <f t="shared" ref="R123:R124" si="95">($R$92*P88+$R$121*S88)</f>
        <v>0.10444799999999999</v>
      </c>
      <c r="S123" s="62">
        <f t="shared" ref="S123:S124" si="96">($S$92*P88+$S$121*S88)</f>
        <v>-1.2710399999999999</v>
      </c>
      <c r="T123" s="62">
        <f t="shared" ref="T123:T124" si="97">($T$92*P88+$T$121*S88)</f>
        <v>108.8544</v>
      </c>
      <c r="U123" s="63">
        <f t="shared" si="32"/>
        <v>11.369624371199999</v>
      </c>
      <c r="V123" s="63">
        <f t="shared" si="33"/>
        <v>-138.35829657599999</v>
      </c>
      <c r="W123" s="62">
        <f t="shared" si="34"/>
        <v>1.1369624371199998E-2</v>
      </c>
      <c r="X123" s="62">
        <f t="shared" si="35"/>
        <v>-0.13835829657599999</v>
      </c>
      <c r="Y123" s="60">
        <f t="shared" ref="Y123:Y124" si="98">($Y$92*P88+$Y$121*S88)</f>
        <v>1.025984</v>
      </c>
      <c r="Z123" s="60">
        <f>($Z$92*P88+$Z$121*S88)</f>
        <v>81.907200000000003</v>
      </c>
      <c r="AA123" s="60">
        <f>($AA$92*P88+$AA$121*S88)</f>
        <v>74.015999999999991</v>
      </c>
      <c r="AB123" s="60">
        <f t="shared" ref="AB123:AB124" si="99">($AB$92*P88+$AB$121*S88)</f>
        <v>2.4671999999999996</v>
      </c>
      <c r="AC123" s="60">
        <v>0</v>
      </c>
      <c r="AD123" s="60">
        <f>($AD$92*P88+$AD$121*S88)</f>
        <v>16.447999999999997</v>
      </c>
      <c r="AE123" s="60">
        <f t="shared" ref="AE123:AE124" si="100">($AE$92*$P$87+$AE$121*S88)</f>
        <v>54.655999999999992</v>
      </c>
      <c r="AF123" s="60">
        <f t="shared" ref="AF123:AF124" si="101">($AF$92*P88+$AF$121*S88)</f>
        <v>32.895999999999994</v>
      </c>
      <c r="AG123" s="60">
        <v>0</v>
      </c>
      <c r="AH123" s="39"/>
      <c r="AI123" s="39"/>
    </row>
    <row r="124" spans="1:35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60"/>
      <c r="O124" s="60" t="s">
        <v>264</v>
      </c>
      <c r="P124" s="60"/>
      <c r="Q124" s="62">
        <f t="shared" si="94"/>
        <v>5.1521600000000001E-2</v>
      </c>
      <c r="R124" s="62">
        <f t="shared" si="95"/>
        <v>0.10524800000000001</v>
      </c>
      <c r="S124" s="62">
        <f t="shared" si="96"/>
        <v>-1.2550399999999999</v>
      </c>
      <c r="T124" s="62">
        <f t="shared" si="97"/>
        <v>91.094399999999993</v>
      </c>
      <c r="U124" s="63">
        <f t="shared" si="32"/>
        <v>9.5875034112000002</v>
      </c>
      <c r="V124" s="63">
        <f t="shared" si="33"/>
        <v>-114.32711577599999</v>
      </c>
      <c r="W124" s="62">
        <f t="shared" si="34"/>
        <v>9.5875034112000001E-3</v>
      </c>
      <c r="X124" s="62">
        <f t="shared" si="35"/>
        <v>-0.11432711577599998</v>
      </c>
      <c r="Y124" s="60">
        <f t="shared" si="98"/>
        <v>1.022384</v>
      </c>
      <c r="Z124" s="60">
        <f>($Z$92*P89+$Z$121*S89)</f>
        <v>81.027199999999993</v>
      </c>
      <c r="AA124" s="60">
        <f>($AA$92*P89+$AA$121*S89)</f>
        <v>77.616</v>
      </c>
      <c r="AB124" s="60">
        <f t="shared" si="99"/>
        <v>2.5872000000000002</v>
      </c>
      <c r="AC124" s="60">
        <v>0</v>
      </c>
      <c r="AD124" s="60">
        <f>($AD$92*P89+$AD$121*S89)</f>
        <v>17.248000000000001</v>
      </c>
      <c r="AE124" s="60">
        <f t="shared" si="100"/>
        <v>56.256</v>
      </c>
      <c r="AF124" s="60">
        <f t="shared" si="101"/>
        <v>34.496000000000002</v>
      </c>
      <c r="AG124" s="60">
        <v>0</v>
      </c>
      <c r="AH124" s="39"/>
      <c r="AI124" s="39"/>
    </row>
    <row r="125" spans="1:35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</row>
    <row r="126" spans="1:35">
      <c r="A126" s="39"/>
      <c r="B126" s="39" t="s">
        <v>13</v>
      </c>
      <c r="C126" s="39" t="s">
        <v>5</v>
      </c>
      <c r="D126" s="39" t="s">
        <v>6</v>
      </c>
      <c r="E126" s="39" t="s">
        <v>11</v>
      </c>
      <c r="F126" s="39" t="s">
        <v>0</v>
      </c>
      <c r="G126" s="39" t="s">
        <v>7</v>
      </c>
      <c r="H126" s="39" t="s">
        <v>21</v>
      </c>
      <c r="I126" s="39" t="s">
        <v>169</v>
      </c>
      <c r="J126" s="39" t="s">
        <v>14</v>
      </c>
      <c r="K126" s="39" t="s">
        <v>17</v>
      </c>
      <c r="L126" s="39" t="s">
        <v>15</v>
      </c>
      <c r="M126" s="39" t="s">
        <v>16</v>
      </c>
      <c r="N126" s="39" t="s">
        <v>18</v>
      </c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</row>
    <row r="127" spans="1:35">
      <c r="A127" s="39"/>
      <c r="B127" s="39" t="s">
        <v>4</v>
      </c>
      <c r="C127" s="39" t="s">
        <v>8</v>
      </c>
      <c r="D127" s="39" t="s">
        <v>9</v>
      </c>
      <c r="E127" s="39" t="s">
        <v>12</v>
      </c>
      <c r="F127" s="39"/>
      <c r="G127" s="39" t="s">
        <v>10</v>
      </c>
      <c r="H127" s="39" t="s">
        <v>10</v>
      </c>
      <c r="I127" s="39" t="s">
        <v>10</v>
      </c>
      <c r="J127" s="39" t="s">
        <v>10</v>
      </c>
      <c r="K127" s="39" t="s">
        <v>10</v>
      </c>
      <c r="L127" s="39" t="s">
        <v>10</v>
      </c>
      <c r="M127" s="39" t="s">
        <v>10</v>
      </c>
      <c r="N127" s="39" t="s">
        <v>10</v>
      </c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</row>
    <row r="128" spans="1:35">
      <c r="A128" s="39" t="s">
        <v>289</v>
      </c>
      <c r="B128" s="39">
        <v>0.13</v>
      </c>
      <c r="C128" s="39">
        <v>8.7999999999999995E-2</v>
      </c>
      <c r="D128" s="39">
        <v>-1.6</v>
      </c>
      <c r="E128" s="39">
        <v>474</v>
      </c>
      <c r="F128" s="39">
        <v>1.1000000000000001</v>
      </c>
      <c r="G128" s="39">
        <v>100</v>
      </c>
      <c r="H128" s="39">
        <v>0</v>
      </c>
      <c r="I128" s="39">
        <v>0</v>
      </c>
      <c r="J128" s="39">
        <v>0</v>
      </c>
      <c r="K128" s="39">
        <v>0</v>
      </c>
      <c r="L128" s="39">
        <v>100</v>
      </c>
      <c r="M128" s="39">
        <v>0</v>
      </c>
      <c r="N128" s="39">
        <v>0</v>
      </c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</row>
    <row r="129" spans="1:35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</row>
    <row r="130" spans="1:35">
      <c r="A130" s="39" t="s">
        <v>290</v>
      </c>
      <c r="B130" s="58">
        <v>1.5931372549019607</v>
      </c>
      <c r="C130" s="65">
        <f t="shared" ref="C130:N130" si="102">$G$110*C128</f>
        <v>1.43616E-2</v>
      </c>
      <c r="D130" s="65">
        <f t="shared" si="102"/>
        <v>-0.26112000000000002</v>
      </c>
      <c r="E130" s="65">
        <f>$G$110*E128</f>
        <v>77.356800000000007</v>
      </c>
      <c r="F130" s="56">
        <f t="shared" si="102"/>
        <v>0.17952000000000004</v>
      </c>
      <c r="G130" s="64">
        <f t="shared" si="102"/>
        <v>16.32</v>
      </c>
      <c r="H130" s="65">
        <f t="shared" si="102"/>
        <v>0</v>
      </c>
      <c r="I130" s="65">
        <f t="shared" si="102"/>
        <v>0</v>
      </c>
      <c r="J130" s="65">
        <f t="shared" si="102"/>
        <v>0</v>
      </c>
      <c r="K130" s="65">
        <f t="shared" si="102"/>
        <v>0</v>
      </c>
      <c r="L130" s="64">
        <f t="shared" si="102"/>
        <v>16.32</v>
      </c>
      <c r="M130" s="65">
        <f t="shared" si="102"/>
        <v>0</v>
      </c>
      <c r="N130" s="65">
        <f t="shared" si="102"/>
        <v>0</v>
      </c>
      <c r="O130" s="65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</row>
    <row r="131" spans="1:35">
      <c r="A131" s="39" t="s">
        <v>291</v>
      </c>
      <c r="B131" s="58">
        <v>2.0833333333333335</v>
      </c>
      <c r="C131" s="65">
        <f t="shared" ref="C131:N131" si="103">$G$111*C128</f>
        <v>1.0982399999999998E-2</v>
      </c>
      <c r="D131" s="65">
        <f t="shared" si="103"/>
        <v>-0.19968</v>
      </c>
      <c r="E131" s="65">
        <f>$G$111*E128</f>
        <v>59.155200000000001</v>
      </c>
      <c r="F131" s="56">
        <f t="shared" si="103"/>
        <v>0.13728000000000001</v>
      </c>
      <c r="G131" s="64">
        <f t="shared" si="103"/>
        <v>12.479999999999999</v>
      </c>
      <c r="H131" s="65">
        <f t="shared" si="103"/>
        <v>0</v>
      </c>
      <c r="I131" s="65">
        <f t="shared" si="103"/>
        <v>0</v>
      </c>
      <c r="J131" s="65">
        <f t="shared" si="103"/>
        <v>0</v>
      </c>
      <c r="K131" s="65">
        <f t="shared" si="103"/>
        <v>0</v>
      </c>
      <c r="L131" s="64">
        <f t="shared" si="103"/>
        <v>12.479999999999999</v>
      </c>
      <c r="M131" s="65">
        <f t="shared" si="103"/>
        <v>0</v>
      </c>
      <c r="N131" s="65">
        <f t="shared" si="103"/>
        <v>0</v>
      </c>
      <c r="O131" s="65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</row>
    <row r="132" spans="1:35">
      <c r="A132" s="39" t="s">
        <v>292</v>
      </c>
      <c r="B132" s="58">
        <v>3.1862745098039214</v>
      </c>
      <c r="C132" s="65">
        <f t="shared" ref="C132:N132" si="104">$G$112*C128</f>
        <v>7.1808000000000002E-3</v>
      </c>
      <c r="D132" s="65">
        <f t="shared" si="104"/>
        <v>-0.13056000000000001</v>
      </c>
      <c r="E132" s="65">
        <f t="shared" si="104"/>
        <v>38.678400000000003</v>
      </c>
      <c r="F132" s="56">
        <f t="shared" si="104"/>
        <v>8.976000000000002E-2</v>
      </c>
      <c r="G132" s="64">
        <f t="shared" si="104"/>
        <v>8.16</v>
      </c>
      <c r="H132" s="65">
        <f t="shared" si="104"/>
        <v>0</v>
      </c>
      <c r="I132" s="65">
        <f t="shared" si="104"/>
        <v>0</v>
      </c>
      <c r="J132" s="65">
        <f t="shared" si="104"/>
        <v>0</v>
      </c>
      <c r="K132" s="65">
        <f t="shared" si="104"/>
        <v>0</v>
      </c>
      <c r="L132" s="64">
        <f t="shared" si="104"/>
        <v>8.16</v>
      </c>
      <c r="M132" s="65">
        <f t="shared" si="104"/>
        <v>0</v>
      </c>
      <c r="N132" s="65">
        <f t="shared" si="104"/>
        <v>0</v>
      </c>
      <c r="O132" s="65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</row>
    <row r="133" spans="1:35">
      <c r="A133" s="39" t="s">
        <v>293</v>
      </c>
      <c r="B133" s="58">
        <v>0.76470588235294112</v>
      </c>
      <c r="C133" s="65">
        <f t="shared" ref="C133:N133" si="105">$G$114*C128</f>
        <v>2.9919999999999999E-2</v>
      </c>
      <c r="D133" s="65">
        <f t="shared" si="105"/>
        <v>-0.54400000000000004</v>
      </c>
      <c r="E133" s="65">
        <f t="shared" si="105"/>
        <v>161.16000000000003</v>
      </c>
      <c r="F133" s="56">
        <f t="shared" si="105"/>
        <v>0.37400000000000005</v>
      </c>
      <c r="G133" s="64">
        <f t="shared" si="105"/>
        <v>34</v>
      </c>
      <c r="H133" s="65">
        <f t="shared" si="105"/>
        <v>0</v>
      </c>
      <c r="I133" s="65">
        <f t="shared" si="105"/>
        <v>0</v>
      </c>
      <c r="J133" s="65">
        <f t="shared" si="105"/>
        <v>0</v>
      </c>
      <c r="K133" s="65">
        <f t="shared" si="105"/>
        <v>0</v>
      </c>
      <c r="L133" s="64">
        <f t="shared" si="105"/>
        <v>34</v>
      </c>
      <c r="M133" s="65">
        <f t="shared" si="105"/>
        <v>0</v>
      </c>
      <c r="N133" s="65">
        <f t="shared" si="105"/>
        <v>0</v>
      </c>
      <c r="O133" s="65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</row>
    <row r="134" spans="1:35">
      <c r="A134" s="39" t="s">
        <v>295</v>
      </c>
      <c r="B134" s="58">
        <v>1</v>
      </c>
      <c r="C134" s="65">
        <f t="shared" ref="C134:N134" si="106">$G$115*C128</f>
        <v>2.2880000000000001E-2</v>
      </c>
      <c r="D134" s="65">
        <f t="shared" si="106"/>
        <v>-0.41600000000000004</v>
      </c>
      <c r="E134" s="65">
        <f t="shared" si="106"/>
        <v>123.24000000000001</v>
      </c>
      <c r="F134" s="56">
        <f t="shared" si="106"/>
        <v>0.28600000000000003</v>
      </c>
      <c r="G134" s="64">
        <f t="shared" si="106"/>
        <v>26</v>
      </c>
      <c r="H134" s="65">
        <f t="shared" si="106"/>
        <v>0</v>
      </c>
      <c r="I134" s="65">
        <f t="shared" si="106"/>
        <v>0</v>
      </c>
      <c r="J134" s="65">
        <f t="shared" si="106"/>
        <v>0</v>
      </c>
      <c r="K134" s="65">
        <f t="shared" si="106"/>
        <v>0</v>
      </c>
      <c r="L134" s="64">
        <f t="shared" si="106"/>
        <v>26</v>
      </c>
      <c r="M134" s="65">
        <f t="shared" si="106"/>
        <v>0</v>
      </c>
      <c r="N134" s="65">
        <f t="shared" si="106"/>
        <v>0</v>
      </c>
      <c r="O134" s="65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</row>
    <row r="135" spans="1:35">
      <c r="A135" s="39" t="s">
        <v>294</v>
      </c>
      <c r="B135" s="58">
        <v>1.5294117647058822</v>
      </c>
      <c r="C135" s="65">
        <f t="shared" ref="C135:N135" si="107">$G$116*C128</f>
        <v>1.4959999999999999E-2</v>
      </c>
      <c r="D135" s="65">
        <f t="shared" si="107"/>
        <v>-0.27200000000000002</v>
      </c>
      <c r="E135" s="65">
        <f t="shared" si="107"/>
        <v>80.580000000000013</v>
      </c>
      <c r="F135" s="65">
        <f t="shared" si="107"/>
        <v>0.18700000000000003</v>
      </c>
      <c r="G135" s="64">
        <f t="shared" si="107"/>
        <v>17</v>
      </c>
      <c r="H135" s="65">
        <f t="shared" si="107"/>
        <v>0</v>
      </c>
      <c r="I135" s="65">
        <f t="shared" si="107"/>
        <v>0</v>
      </c>
      <c r="J135" s="65">
        <f t="shared" si="107"/>
        <v>0</v>
      </c>
      <c r="K135" s="65">
        <f t="shared" si="107"/>
        <v>0</v>
      </c>
      <c r="L135" s="64">
        <f t="shared" si="107"/>
        <v>17</v>
      </c>
      <c r="M135" s="65">
        <f t="shared" si="107"/>
        <v>0</v>
      </c>
      <c r="N135" s="65">
        <f t="shared" si="107"/>
        <v>0</v>
      </c>
      <c r="O135" s="65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</row>
    <row r="136" spans="1:35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65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</row>
    <row r="137" spans="1:35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</row>
    <row r="138" spans="1:35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</row>
    <row r="139" spans="1:35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</row>
    <row r="142" spans="1:35">
      <c r="Y142">
        <v>8.7999999999999995E-2</v>
      </c>
    </row>
  </sheetData>
  <sheetProtection algorithmName="SHA-512" hashValue="Wu/blbF9icYmekO1y0tXkUP72tjVN1DTiuyTbR0wTkb07Wo0XheM6wLojHXrbqHdjc/j04Hwbi3qn6wZNnl/mQ==" saltValue="aQ86cTF1zeoLwjfZtt3gvw==" spinCount="100000" sheet="1" objects="1" scenarios="1"/>
  <phoneticPr fontId="2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Aloitus</vt:lpstr>
      <vt:lpstr>Huomiot</vt:lpstr>
      <vt:lpstr>Laskuri</vt:lpstr>
      <vt:lpstr>Materiaalilaskut</vt:lpstr>
      <vt:lpstr>Materiaalilaskut 2</vt:lpstr>
      <vt:lpstr>Kaavat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Topi Huhtanen</dc:creator>
  <cp:lastModifiedBy>Topi Huhtanen</cp:lastModifiedBy>
  <dcterms:created xsi:type="dcterms:W3CDTF">2015-06-05T18:17:20Z</dcterms:created>
  <dcterms:modified xsi:type="dcterms:W3CDTF">2022-06-21T12:14:17Z</dcterms:modified>
</cp:coreProperties>
</file>